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-docs\silutesst.lt\2020\RAS\ikelimui-2019\"/>
    </mc:Choice>
  </mc:AlternateContent>
  <bookViews>
    <workbookView xWindow="0" yWindow="0" windowWidth="25200" windowHeight="13275"/>
  </bookViews>
  <sheets>
    <sheet name="Lapas1" sheetId="1" r:id="rId1"/>
  </sheets>
  <externalReferences>
    <externalReference r:id="rId2"/>
  </externalReferences>
  <definedNames>
    <definedName name="SIS055_D_Kitosadministr1">'[1]Forma 2'!$C$134</definedName>
    <definedName name="SIS055_D_Kitosadministr2">'[1]Forma 2'!$C$135</definedName>
    <definedName name="SIS055_D_Kitosadministr3">'[1]Forma 2'!$C$136</definedName>
    <definedName name="SIS055_D_Kitoseinamojor1">'[1]Forma 2'!$C$93</definedName>
    <definedName name="SIS055_D_Kitoseinamojor2">'[1]Forma 2'!$C$94</definedName>
    <definedName name="SIS055_D_Kitoseinamojor3">'[1]Forma 2'!$C$95</definedName>
    <definedName name="SIS055_D_Kitoseinamojor4">'[1]Forma 2'!$C$96</definedName>
    <definedName name="SIS055_D_Kitoseinamojor5">'[1]Forma 2'!$C$97</definedName>
    <definedName name="SIS055_D_Kitosfinansine1">'[1]Forma 2'!$C$122</definedName>
    <definedName name="SIS055_D_Kitosfinansine2">'[1]Forma 2'!$C$123</definedName>
    <definedName name="SIS055_D_Kitoskintamosi2">'[1]Forma 2'!$C$41</definedName>
    <definedName name="SIS055_D_Kitoskintamosi3">'[1]Forma 2'!$C$42</definedName>
    <definedName name="SIS055_D_Kitoskurorusie1">'[1]Forma 2'!$C$19</definedName>
    <definedName name="SIS055_D_Kitoskurorusie2">'[1]Forma 2'!$C$20</definedName>
    <definedName name="SIS055_D_Kitoskurorusie3">'[1]Forma 2'!$C$21</definedName>
    <definedName name="SIS055_D_Kitoskurorusie4">'[1]Forma 2'!$C$22</definedName>
    <definedName name="SIS055_D_Kitospastovios2">'[1]Forma 2'!$C$165</definedName>
    <definedName name="SIS055_D_Kitospastovios3">'[1]Forma 2'!$C$166</definedName>
    <definedName name="SIS055_D_Kitosrinkodaro1">'[1]Forma 2'!$C$146</definedName>
    <definedName name="SIS055_D_Kitosrinkodaro2">'[1]Forma 2'!$C$147</definedName>
    <definedName name="SIS055_D_Kitossanaudoss1">'[1]Forma 2'!$C$14</definedName>
    <definedName name="SIS055_D_Kitossanaudoss2">'[1]Forma 2'!$C$23</definedName>
    <definedName name="SIS055_D_Kitossanaudoss3">'[1]Forma 2'!$C$26</definedName>
    <definedName name="SIS055_D_Kitossanaudoss4">'[1]Forma 2'!$C$30</definedName>
    <definedName name="SIS055_D_Kitossanaudoss5">'[1]Forma 2'!$C$33</definedName>
    <definedName name="SIS055_D_Kitossanaudoss6">'[1]Forma 2'!$C$34</definedName>
    <definedName name="SIS055_D_Kitossanaudoss7">'[1]Forma 2'!$C$150</definedName>
    <definedName name="SIS055_D_Kitossupersona1">'[1]Forma 2'!$C$106</definedName>
    <definedName name="SIS055_D_Kitossupersona2">'[1]Forma 2'!$C$107</definedName>
    <definedName name="SIS055_D_Kitossupersona3">'[1]Forma 2'!$C$108</definedName>
    <definedName name="SIS055_D_Kitossupersona4">'[1]Forma 2'!$C$109</definedName>
    <definedName name="SIS055_D_Kitumokesciuva1">'[1]Forma 2'!$C$117</definedName>
    <definedName name="SIS062_D_Cstsistema1">'[1]Forma 9'!$AE$9</definedName>
    <definedName name="SIS062_D_Cstsistema2">'[1]Forma 9'!$AW$9</definedName>
    <definedName name="SIS062_D_Cstsistema3">'[1]Forma 9'!$BO$9</definedName>
    <definedName name="SIS062_D_Cstsistema4">'[1]Forma 9'!$CG$9</definedName>
    <definedName name="SIS062_D_Cstsistema5">'[1]Forma 9'!$CY$9</definedName>
    <definedName name="SIS062_D_Cstsistema6">'[1]Forma 9'!$DQ$9</definedName>
    <definedName name="SIS062_D_Cstsistema7">'[1]Forma 9'!$EI$9</definedName>
    <definedName name="SIS062_D_Paslaugaproduk1">'[1]Forma 9'!$L$13</definedName>
    <definedName name="SIS062_D_Paslaugaproduk10">'[1]Forma 9'!$AI$13</definedName>
    <definedName name="SIS062_D_Paslaugaproduk11">'[1]Forma 9'!$AL$13</definedName>
    <definedName name="SIS062_D_Paslaugaproduk12">'[1]Forma 9'!$AM$13</definedName>
    <definedName name="SIS062_D_Paslaugaproduk13">'[1]Forma 9'!$AQ$13</definedName>
    <definedName name="SIS062_D_Paslaugaproduk14">'[1]Forma 9'!$AR$13</definedName>
    <definedName name="SIS062_D_Paslaugaproduk15">'[1]Forma 9'!$AU$13</definedName>
    <definedName name="SIS062_D_Paslaugaproduk16">'[1]Forma 9'!$AV$13</definedName>
    <definedName name="SIS062_D_Paslaugaproduk17">'[1]Forma 9'!$BA$13</definedName>
    <definedName name="SIS062_D_Paslaugaproduk18">'[1]Forma 9'!$BD$13</definedName>
    <definedName name="SIS062_D_Paslaugaproduk19">'[1]Forma 9'!$BE$13</definedName>
    <definedName name="SIS062_D_Paslaugaproduk2">'[1]Forma 9'!$O$13</definedName>
    <definedName name="SIS062_D_Paslaugaproduk20">'[1]Forma 9'!$BI$13</definedName>
    <definedName name="SIS062_D_Paslaugaproduk21">'[1]Forma 9'!$BJ$13</definedName>
    <definedName name="SIS062_D_Paslaugaproduk22">'[1]Forma 9'!$BM$13</definedName>
    <definedName name="SIS062_D_Paslaugaproduk23">'[1]Forma 9'!$BN$13</definedName>
    <definedName name="SIS062_D_Paslaugaproduk24">'[1]Forma 9'!$BS$13</definedName>
    <definedName name="SIS062_D_Paslaugaproduk25">'[1]Forma 9'!$BV$13</definedName>
    <definedName name="SIS062_D_Paslaugaproduk26">'[1]Forma 9'!$BW$13</definedName>
    <definedName name="SIS062_D_Paslaugaproduk27">'[1]Forma 9'!$CA$13</definedName>
    <definedName name="SIS062_D_Paslaugaproduk28">'[1]Forma 9'!$CB$13</definedName>
    <definedName name="SIS062_D_Paslaugaproduk29">'[1]Forma 9'!$CE$13</definedName>
    <definedName name="SIS062_D_Paslaugaproduk3">'[1]Forma 9'!$P$13</definedName>
    <definedName name="SIS062_D_Paslaugaproduk30">'[1]Forma 9'!$CF$13</definedName>
    <definedName name="SIS062_D_Paslaugaproduk31">'[1]Forma 9'!$CK$13</definedName>
    <definedName name="SIS062_D_Paslaugaproduk32">'[1]Forma 9'!$CN$13</definedName>
    <definedName name="SIS062_D_Paslaugaproduk33">'[1]Forma 9'!$CO$13</definedName>
    <definedName name="SIS062_D_Paslaugaproduk34">'[1]Forma 9'!$CS$13</definedName>
    <definedName name="SIS062_D_Paslaugaproduk35">'[1]Forma 9'!$CT$13</definedName>
    <definedName name="SIS062_D_Paslaugaproduk36">'[1]Forma 9'!$CW$13</definedName>
    <definedName name="SIS062_D_Paslaugaproduk37">'[1]Forma 9'!$CX$13</definedName>
    <definedName name="SIS062_D_Paslaugaproduk38">'[1]Forma 9'!$DC$13</definedName>
    <definedName name="SIS062_D_Paslaugaproduk39">'[1]Forma 9'!$DF$13</definedName>
    <definedName name="SIS062_D_Paslaugaproduk4">'[1]Forma 9'!$T$13</definedName>
    <definedName name="SIS062_D_Paslaugaproduk40">'[1]Forma 9'!$DG$13</definedName>
    <definedName name="SIS062_D_Paslaugaproduk41">'[1]Forma 9'!$DK$13</definedName>
    <definedName name="SIS062_D_Paslaugaproduk42">'[1]Forma 9'!$DL$13</definedName>
    <definedName name="SIS062_D_Paslaugaproduk43">'[1]Forma 9'!$DO$13</definedName>
    <definedName name="SIS062_D_Paslaugaproduk44">'[1]Forma 9'!$DP$13</definedName>
    <definedName name="SIS062_D_Paslaugaproduk45">'[1]Forma 9'!$DU$13</definedName>
    <definedName name="SIS062_D_Paslaugaproduk46">'[1]Forma 9'!$DX$13</definedName>
    <definedName name="SIS062_D_Paslaugaproduk47">'[1]Forma 9'!$DY$13</definedName>
    <definedName name="SIS062_D_Paslaugaproduk48">'[1]Forma 9'!$EC$13</definedName>
    <definedName name="SIS062_D_Paslaugaproduk49">'[1]Forma 9'!$ED$13</definedName>
    <definedName name="SIS062_D_Paslaugaproduk5">'[1]Forma 9'!$U$13</definedName>
    <definedName name="SIS062_D_Paslaugaproduk50">'[1]Forma 9'!$EG$13</definedName>
    <definedName name="SIS062_D_Paslaugaproduk51">'[1]Forma 9'!$EH$13</definedName>
    <definedName name="SIS062_D_Paslaugaproduk52">'[1]Forma 9'!$EM$13</definedName>
    <definedName name="SIS062_D_Paslaugaproduk53">'[1]Forma 9'!$EP$13</definedName>
    <definedName name="SIS062_D_Paslaugaproduk54">'[1]Forma 9'!$EQ$13</definedName>
    <definedName name="SIS062_D_Paslaugaproduk55">'[1]Forma 9'!$EU$13</definedName>
    <definedName name="SIS062_D_Paslaugaproduk56">'[1]Forma 9'!$EV$13</definedName>
    <definedName name="SIS062_D_Paslaugaproduk57">'[1]Forma 9'!$EY$13</definedName>
    <definedName name="SIS062_D_Paslaugaproduk58">'[1]Forma 9'!$EZ$13</definedName>
    <definedName name="SIS062_D_Paslaugaproduk6">'[1]Forma 9'!$X$13</definedName>
    <definedName name="SIS062_D_Paslaugaproduk7">'[1]Forma 9'!$Y$13</definedName>
    <definedName name="SIS062_D_Paslaugaproduk8">'[1]Forma 9'!$AB$13</definedName>
    <definedName name="SIS062_D_Paslaugaproduk9">'[1]Forma 9'!$AD$13</definedName>
    <definedName name="SIS062_F_Administracine1Geriamojovande1">'[1]Forma 9'!$AA$62</definedName>
    <definedName name="SIS062_F_Administracine1Paslaugaproduk8">'[1]Forma 9'!$AB$62</definedName>
    <definedName name="SIS062_F_Administracine1Paslaugaproduk9">'[1]Forma 9'!$AD$62</definedName>
    <definedName name="SIS062_F_Apyvartiniutar2Geriamojovande1">'[1]Forma 9'!$AA$38</definedName>
    <definedName name="SIS062_F_Apyvartiniutar2Paslaugaproduk8">'[1]Forma 9'!$AB$38</definedName>
    <definedName name="SIS062_F_Apyvartiniutar2Paslaugaproduk9">'[1]Forma 9'!$AD$38</definedName>
    <definedName name="SIS062_F_Aplinkostarsos1Geriamojovande1">'[1]Forma 9'!$AA$119</definedName>
    <definedName name="SIS062_F_Aplinkostarsos1Paslaugaproduk8">'[1]Forma 9'!$AB$119</definedName>
    <definedName name="SIS062_F_Aplinkostarsos1Paslaugaproduk9">'[1]Forma 9'!$AD$119</definedName>
    <definedName name="SIS062_F_Apsauginiaiird1Geriamojovande1">'[1]Forma 9'!$AA$110</definedName>
    <definedName name="SIS062_F_Apsauginiaiird1Paslaugaproduk8">'[1]Forma 9'!$AB$110</definedName>
    <definedName name="SIS062_F_Apsauginiaiird1Paslaugaproduk9">'[1]Forma 9'!$AD$110</definedName>
    <definedName name="SIS062_F_Atsiskaitomuju1Geriamojovande1">'[1]Forma 9'!$AA$88</definedName>
    <definedName name="SIS062_F_Atsiskaitomuju1Paslaugaproduk8">'[1]Forma 9'!$AB$88</definedName>
    <definedName name="SIS062_F_Atsiskaitomuju1Paslaugaproduk9">'[1]Forma 9'!$AD$88</definedName>
    <definedName name="SIS062_F_Auditofinansin1Geriamojovande1">'[1]Forma 9'!$AA$160</definedName>
    <definedName name="SIS062_F_Auditofinansin1Paslaugaproduk8">'[1]Forma 9'!$AB$160</definedName>
    <definedName name="SIS062_F_Auditofinansin1Paslaugaproduk9">'[1]Forma 9'!$AD$160</definedName>
    <definedName name="SIS062_F_Auditokitosana1Geriamojovande1">'[1]Forma 9'!$AA$162</definedName>
    <definedName name="SIS062_F_Auditokitosana1Paslaugaproduk8">'[1]Forma 9'!$AB$162</definedName>
    <definedName name="SIS062_F_Auditokitosana1Paslaugaproduk9">'[1]Forma 9'!$AD$162</definedName>
    <definedName name="SIS062_F_Auditoreguliuo1Geriamojovande1">'[1]Forma 9'!$AA$161</definedName>
    <definedName name="SIS062_F_Auditoreguliuo1Paslaugaproduk8">'[1]Forma 9'!$AB$161</definedName>
    <definedName name="SIS062_F_Auditoreguliuo1Paslaugaproduk9">'[1]Forma 9'!$AD$161</definedName>
    <definedName name="SIS062_F_Bankopaslauguk1Geriamojovande1">'[1]Forma 9'!$AA$125</definedName>
    <definedName name="SIS062_F_Bankopaslauguk1Paslaugaproduk8">'[1]Forma 9'!$AB$125</definedName>
    <definedName name="SIS062_F_Bankopaslauguk1Paslaugaproduk9">'[1]Forma 9'!$AD$125</definedName>
    <definedName name="SIS062_F_Beviltiskossko1Geriamojovande1">'[1]Forma 9'!$AA$168</definedName>
    <definedName name="SIS062_F_Beviltiskossko1Paslaugaproduk8">'[1]Forma 9'!$AB$168</definedName>
    <definedName name="SIS062_F_Beviltiskossko1Paslaugaproduk9">'[1]Forma 9'!$AD$168</definedName>
    <definedName name="SIS062_F_Cheminesmedzia1Geriamojovande1">'[1]Forma 9'!$AA$46</definedName>
    <definedName name="SIS062_F_Cheminesmedzia1Paslaugaproduk8">'[1]Forma 9'!$AB$46</definedName>
    <definedName name="SIS062_F_Cheminesmedzia1Paslaugaproduk9">'[1]Forma 9'!$AD$46</definedName>
    <definedName name="SIS062_F_Darbdavioimoku1Geriamojovande1">'[1]Forma 9'!$AA$106</definedName>
    <definedName name="SIS062_F_Darbdavioimoku1Paslaugaproduk8">'[1]Forma 9'!$AB$106</definedName>
    <definedName name="SIS062_F_Darbdavioimoku1Paslaugaproduk9">'[1]Forma 9'!$AD$106</definedName>
    <definedName name="SIS062_F_Darbouzmokesci1Geriamojovande1">'[1]Forma 9'!$AA$105</definedName>
    <definedName name="SIS062_F_Darbouzmokesci1Paslaugaproduk8">'[1]Forma 9'!$AB$105</definedName>
    <definedName name="SIS062_F_Darbouzmokesci1Paslaugaproduk9">'[1]Forma 9'!$AD$105</definedName>
    <definedName name="SIS062_F_Elektrosenergi4Geriamojovande1">'[1]Forma 9'!$AA$31</definedName>
    <definedName name="SIS062_F_Elektrosenergi4Paslaugaproduk8">'[1]Forma 9'!$AB$31</definedName>
    <definedName name="SIS062_F_Elektrosenergi4Paslaugaproduk9">'[1]Forma 9'!$AD$31</definedName>
    <definedName name="SIS062_F_Energetikosist1Geriamojovande1">'[1]Forma 9'!$AA$122</definedName>
    <definedName name="SIS062_F_Energetikosist1Paslaugaproduk8">'[1]Forma 9'!$AB$122</definedName>
    <definedName name="SIS062_F_Energetikosist1Paslaugaproduk9">'[1]Forma 9'!$AD$122</definedName>
    <definedName name="SIS062_F_Energijosistek1Geriamojovande1">'[1]Forma 9'!$AA$43</definedName>
    <definedName name="SIS062_F_Energijosistek1Paslaugaproduk8">'[1]Forma 9'!$AB$43</definedName>
    <definedName name="SIS062_F_Energijosistek1Paslaugaproduk9">'[1]Forma 9'!$AD$43</definedName>
    <definedName name="SIS062_F_Gamybinespaski1Geriamojovande1">'[1]Forma 9'!$AA$55</definedName>
    <definedName name="SIS062_F_Gamybinespaski1Paslaugaproduk8">'[1]Forma 9'!$AB$55</definedName>
    <definedName name="SIS062_F_Gamybinespaski1Paslaugaproduk9">'[1]Forma 9'!$AD$55</definedName>
    <definedName name="SIS062_F_Gamybinespaski2Geriamojovande1">'[1]Forma 9'!$AA$56</definedName>
    <definedName name="SIS062_F_Gamybinespaski2Paslaugaproduk8">'[1]Forma 9'!$AB$56</definedName>
    <definedName name="SIS062_F_Gamybinespaski2Paslaugaproduk9">'[1]Forma 9'!$AD$56</definedName>
    <definedName name="SIS062_F_Gamybinespaski3Geriamojovande1">'[1]Forma 9'!$AA$57</definedName>
    <definedName name="SIS062_F_Gamybinespaski3Paslaugaproduk8">'[1]Forma 9'!$AB$57</definedName>
    <definedName name="SIS062_F_Gamybinespaski3Paslaugaproduk9">'[1]Forma 9'!$AD$57</definedName>
    <definedName name="SIS062_F_Gamybosobjektu1Geriamojovande1">'[1]Forma 9'!$AA$78</definedName>
    <definedName name="SIS062_F_Gamybosobjektu1Paslaugaproduk8">'[1]Forma 9'!$AB$78</definedName>
    <definedName name="SIS062_F_Gamybosobjektu1Paslaugaproduk9">'[1]Forma 9'!$AD$78</definedName>
    <definedName name="SIS062_F_Gamtiniudujubi1Geriamojovande1">'[1]Forma 9'!$AA$44</definedName>
    <definedName name="SIS062_F_Gamtiniudujubi1Paslaugaproduk8">'[1]Forma 9'!$AB$44</definedName>
    <definedName name="SIS062_F_Gamtiniudujubi1Paslaugaproduk9">'[1]Forma 9'!$AD$44</definedName>
    <definedName name="SIS062_F_Gamtiniudujuis1Geriamojovande1">'[1]Forma 9'!$AA$22</definedName>
    <definedName name="SIS062_F_Gamtiniudujuis1Paslaugaproduk8">'[1]Forma 9'!$AB$22</definedName>
    <definedName name="SIS062_F_Gamtiniudujuis1Paslaugaproduk9">'[1]Forma 9'!$AD$22</definedName>
    <definedName name="SIS062_F_Investiciniotu1Geriamojovande1">'[1]Forma 9'!$AA$75</definedName>
    <definedName name="SIS062_F_Investiciniotu1Paslaugaproduk8">'[1]Forma 9'!$AB$75</definedName>
    <definedName name="SIS062_F_Investiciniotu1Paslaugaproduk9">'[1]Forma 9'!$AD$75</definedName>
    <definedName name="SIS062_F_Iseitinespasal1Geriamojovande1">'[1]Forma 9'!$AA$109</definedName>
    <definedName name="SIS062_F_Iseitinespasal1Paslaugaproduk8">'[1]Forma 9'!$AB$109</definedName>
    <definedName name="SIS062_F_Iseitinespasal1Paslaugaproduk9">'[1]Forma 9'!$AD$109</definedName>
    <definedName name="SIS062_F_Itaptarnavimos1Geriamojovande1">'[1]Forma 9'!$AA$81</definedName>
    <definedName name="SIS062_F_Itaptarnavimos1Paslaugaproduk8">'[1]Forma 9'!$AB$81</definedName>
    <definedName name="SIS062_F_Itaptarnavimos1Paslaugaproduk9">'[1]Forma 9'!$AD$81</definedName>
    <definedName name="SIS062_F_Kanceliariness1Geriamojovande1">'[1]Forma 9'!$AA$135</definedName>
    <definedName name="SIS062_F_Kanceliariness1Paslaugaproduk8">'[1]Forma 9'!$AB$135</definedName>
    <definedName name="SIS062_F_Kanceliariness1Paslaugaproduk9">'[1]Forma 9'!$AD$135</definedName>
    <definedName name="SIS062_F_Kelionessanaud1Geriamojovande1">'[1]Forma 9'!$AA$111</definedName>
    <definedName name="SIS062_F_Kelionessanaud1Paslaugaproduk8">'[1]Forma 9'!$AB$111</definedName>
    <definedName name="SIS062_F_Kelionessanaud1Paslaugaproduk9">'[1]Forma 9'!$AD$111</definedName>
    <definedName name="SIS062_F_Kitoilgalaikio1Geriamojovande1">'[1]Forma 9'!$AA$76</definedName>
    <definedName name="SIS062_F_Kitoilgalaikio1Paslaugaproduk8">'[1]Forma 9'!$AB$76</definedName>
    <definedName name="SIS062_F_Kitoilgalaikio1Paslaugaproduk9">'[1]Forma 9'!$AD$76</definedName>
    <definedName name="SIS062_F_Kitomaterialau1Geriamojovande1">'[1]Forma 9'!$AA$74</definedName>
    <definedName name="SIS062_F_Kitomaterialau1Paslaugaproduk8">'[1]Forma 9'!$AB$74</definedName>
    <definedName name="SIS062_F_Kitomaterialau1Paslaugaproduk9">'[1]Forma 9'!$AD$74</definedName>
    <definedName name="SIS062_F_Kitonematerial1Geriamojovande1">'[1]Forma 9'!$AA$54</definedName>
    <definedName name="SIS062_F_Kitonematerial1Paslaugaproduk8">'[1]Forma 9'!$AB$54</definedName>
    <definedName name="SIS062_F_Kitonematerial1Paslaugaproduk9">'[1]Forma 9'!$AD$54</definedName>
    <definedName name="SIS062_F_Kitosadministr1Geriamojovande1">'[1]Forma 9'!$AA$140</definedName>
    <definedName name="SIS062_F_Kitosadministr1Paslaugaproduk8">'[1]Forma 9'!$AB$140</definedName>
    <definedName name="SIS062_F_Kitosadministr1Paslaugaproduk9">'[1]Forma 9'!$AD$140</definedName>
    <definedName name="SIS062_F_Kitosadministr2Geriamojovande1">'[1]Forma 9'!$AA$141</definedName>
    <definedName name="SIS062_F_Kitosadministr2Paslaugaproduk8">'[1]Forma 9'!$AB$141</definedName>
    <definedName name="SIS062_F_Kitosadministr2Paslaugaproduk9">'[1]Forma 9'!$AD$141</definedName>
    <definedName name="SIS062_F_Kitosadministr3Geriamojovande1">'[1]Forma 9'!$AA$142</definedName>
    <definedName name="SIS062_F_Kitosadministr3Paslaugaproduk8">'[1]Forma 9'!$AB$142</definedName>
    <definedName name="SIS062_F_Kitosadministr3Paslaugaproduk9">'[1]Forma 9'!$AD$142</definedName>
    <definedName name="SIS062_F_Kitoseinamojor1Geriamojovande1">'[1]Forma 9'!$AA$99</definedName>
    <definedName name="SIS062_F_Kitoseinamojor1Paslaugaproduk8">'[1]Forma 9'!$AB$99</definedName>
    <definedName name="SIS062_F_Kitoseinamojor1Paslaugaproduk9">'[1]Forma 9'!$AD$99</definedName>
    <definedName name="SIS062_F_Kitoseinamojor2Geriamojovande1">'[1]Forma 9'!$AA$100</definedName>
    <definedName name="SIS062_F_Kitoseinamojor2Paslaugaproduk8">'[1]Forma 9'!$AB$100</definedName>
    <definedName name="SIS062_F_Kitoseinamojor2Paslaugaproduk9">'[1]Forma 9'!$AD$100</definedName>
    <definedName name="SIS062_F_Kitoseinamojor3Geriamojovande1">'[1]Forma 9'!$AA$101</definedName>
    <definedName name="SIS062_F_Kitoseinamojor3Paslaugaproduk8">'[1]Forma 9'!$AB$101</definedName>
    <definedName name="SIS062_F_Kitoseinamojor3Paslaugaproduk9">'[1]Forma 9'!$AD$101</definedName>
    <definedName name="SIS062_F_Kitoseinamojor4Geriamojovande1">'[1]Forma 9'!$AA$102</definedName>
    <definedName name="SIS062_F_Kitoseinamojor4Paslaugaproduk8">'[1]Forma 9'!$AB$102</definedName>
    <definedName name="SIS062_F_Kitoseinamojor4Paslaugaproduk9">'[1]Forma 9'!$AD$102</definedName>
    <definedName name="SIS062_F_Kitoseinamojor5Geriamojovande1">'[1]Forma 9'!$AA$103</definedName>
    <definedName name="SIS062_F_Kitoseinamojor5Paslaugaproduk8">'[1]Forma 9'!$AB$103</definedName>
    <definedName name="SIS062_F_Kitoseinamojor5Paslaugaproduk9">'[1]Forma 9'!$AD$103</definedName>
    <definedName name="SIS062_F_Kitosfinansine1Geriamojovande1">'[1]Forma 9'!$AA$128</definedName>
    <definedName name="SIS062_F_Kitosfinansine1Paslaugaproduk8">'[1]Forma 9'!$AB$128</definedName>
    <definedName name="SIS062_F_Kitosfinansine1Paslaugaproduk9">'[1]Forma 9'!$AD$128</definedName>
    <definedName name="SIS062_F_Kitosfinansine2Geriamojovande1">'[1]Forma 9'!$AA$129</definedName>
    <definedName name="SIS062_F_Kitosfinansine2Paslaugaproduk8">'[1]Forma 9'!$AB$129</definedName>
    <definedName name="SIS062_F_Kitosfinansine2Paslaugaproduk9">'[1]Forma 9'!$AD$129</definedName>
    <definedName name="SIS062_F_Kitosirangospr1Geriamojovande1">'[1]Forma 9'!$AA$64</definedName>
    <definedName name="SIS062_F_Kitosirangospr1Paslaugaproduk8">'[1]Forma 9'!$AB$64</definedName>
    <definedName name="SIS062_F_Kitosirangospr1Paslaugaproduk9">'[1]Forma 9'!$AD$64</definedName>
    <definedName name="SIS062_F_Kitosirangospr2Geriamojovande1">'[1]Forma 9'!$AA$70</definedName>
    <definedName name="SIS062_F_Kitosirangospr2Paslaugaproduk8">'[1]Forma 9'!$AB$70</definedName>
    <definedName name="SIS062_F_Kitosirangospr2Paslaugaproduk9">'[1]Forma 9'!$AD$70</definedName>
    <definedName name="SIS062_F_Kitosirangospr3Geriamojovande1">'[1]Forma 9'!$AA$71</definedName>
    <definedName name="SIS062_F_Kitosirangospr3Paslaugaproduk8">'[1]Forma 9'!$AB$71</definedName>
    <definedName name="SIS062_F_Kitosirangospr3Paslaugaproduk9">'[1]Forma 9'!$AD$71</definedName>
    <definedName name="SIS062_F_Kitosirangospr4Geriamojovande1">'[1]Forma 9'!$AA$72</definedName>
    <definedName name="SIS062_F_Kitosirangospr4Paslaugaproduk8">'[1]Forma 9'!$AB$72</definedName>
    <definedName name="SIS062_F_Kitosirangospr4Paslaugaproduk9">'[1]Forma 9'!$AD$72</definedName>
    <definedName name="SIS062_F_Kitoskintamosi2Geriamojovande1">'[1]Forma 9'!$AA$47</definedName>
    <definedName name="SIS062_F_Kitoskintamosi2Paslaugaproduk8">'[1]Forma 9'!$AB$47</definedName>
    <definedName name="SIS062_F_Kitoskintamosi2Paslaugaproduk9">'[1]Forma 9'!$AD$47</definedName>
    <definedName name="SIS062_F_Kitoskintamosi3Geriamojovande1">'[1]Forma 9'!$AA$48</definedName>
    <definedName name="SIS062_F_Kitoskintamosi3Paslaugaproduk8">'[1]Forma 9'!$AB$48</definedName>
    <definedName name="SIS062_F_Kitoskintamosi3Paslaugaproduk9">'[1]Forma 9'!$AD$48</definedName>
    <definedName name="SIS062_F_Kitoskurorusie1Geriamojovande1">'[1]Forma 9'!$AA$25</definedName>
    <definedName name="SIS062_F_Kitoskurorusie1Paslaugaproduk8">'[1]Forma 9'!$AB$25</definedName>
    <definedName name="SIS062_F_Kitoskurorusie1Paslaugaproduk9">'[1]Forma 9'!$AD$25</definedName>
    <definedName name="SIS062_F_Kitoskurorusie2Geriamojovande1">'[1]Forma 9'!$AA$26</definedName>
    <definedName name="SIS062_F_Kitoskurorusie2Paslaugaproduk8">'[1]Forma 9'!$AB$26</definedName>
    <definedName name="SIS062_F_Kitoskurorusie2Paslaugaproduk9">'[1]Forma 9'!$AD$26</definedName>
    <definedName name="SIS062_F_Kitoskurorusie3Geriamojovande1">'[1]Forma 9'!$AA$27</definedName>
    <definedName name="SIS062_F_Kitoskurorusie3Paslaugaproduk8">'[1]Forma 9'!$AB$27</definedName>
    <definedName name="SIS062_F_Kitoskurorusie3Paslaugaproduk9">'[1]Forma 9'!$AD$27</definedName>
    <definedName name="SIS062_F_Kitoskurorusie4Geriamojovande1">'[1]Forma 9'!$AA$28</definedName>
    <definedName name="SIS062_F_Kitoskurorusie4Paslaugaproduk8">'[1]Forma 9'!$AB$28</definedName>
    <definedName name="SIS062_F_Kitoskurorusie4Paslaugaproduk9">'[1]Forma 9'!$AD$28</definedName>
    <definedName name="SIS062_F_Kitospaskirtie1Geriamojovande1">'[1]Forma 9'!$AA$58</definedName>
    <definedName name="SIS062_F_Kitospaskirtie1Paslaugaproduk8">'[1]Forma 9'!$AB$58</definedName>
    <definedName name="SIS062_F_Kitospaskirtie1Paslaugaproduk9">'[1]Forma 9'!$AD$58</definedName>
    <definedName name="SIS062_F_Kitospaskirtie2Geriamojovande1">'[1]Forma 9'!$AA$59</definedName>
    <definedName name="SIS062_F_Kitospaskirtie2Paslaugaproduk8">'[1]Forma 9'!$AB$59</definedName>
    <definedName name="SIS062_F_Kitospaskirtie2Paslaugaproduk9">'[1]Forma 9'!$AD$59</definedName>
    <definedName name="SIS062_F_Kitospaskirtie3Geriamojovande1">'[1]Forma 9'!$AA$60</definedName>
    <definedName name="SIS062_F_Kitospaskirtie3Paslaugaproduk8">'[1]Forma 9'!$AB$60</definedName>
    <definedName name="SIS062_F_Kitospaskirtie3Paslaugaproduk9">'[1]Forma 9'!$AD$60</definedName>
    <definedName name="SIS062_F_Kitospaskirtie4Geriamojovande1">'[1]Forma 9'!$AA$61</definedName>
    <definedName name="SIS062_F_Kitospaskirtie4Paslaugaproduk8">'[1]Forma 9'!$AB$61</definedName>
    <definedName name="SIS062_F_Kitospaskirtie4Paslaugaproduk9">'[1]Forma 9'!$AD$61</definedName>
    <definedName name="SIS062_F_Kitospaskirtie5Geriamojovande1">'[1]Forma 9'!$AA$63</definedName>
    <definedName name="SIS062_F_Kitospaskirtie5Paslaugaproduk8">'[1]Forma 9'!$AB$63</definedName>
    <definedName name="SIS062_F_Kitospaskirtie5Paslaugaproduk9">'[1]Forma 9'!$AD$63</definedName>
    <definedName name="SIS062_F_Kitospastovios2Geriamojovande1">'[1]Forma 9'!$AA$171</definedName>
    <definedName name="SIS062_F_Kitospastovios2Paslaugaproduk8">'[1]Forma 9'!$AB$171</definedName>
    <definedName name="SIS062_F_Kitospastovios2Paslaugaproduk9">'[1]Forma 9'!$AD$171</definedName>
    <definedName name="SIS062_F_Kitospastovios3Geriamojovande1">'[1]Forma 9'!$AA$172</definedName>
    <definedName name="SIS062_F_Kitospastovios3Paslaugaproduk8">'[1]Forma 9'!$AB$172</definedName>
    <definedName name="SIS062_F_Kitospastovios3Paslaugaproduk9">'[1]Forma 9'!$AD$172</definedName>
    <definedName name="SIS062_F_Kitosrinkodaro1Geriamojovande1">'[1]Forma 9'!$AA$152</definedName>
    <definedName name="SIS062_F_Kitosrinkodaro1Paslaugaproduk8">'[1]Forma 9'!$AB$152</definedName>
    <definedName name="SIS062_F_Kitosrinkodaro1Paslaugaproduk9">'[1]Forma 9'!$AD$152</definedName>
    <definedName name="SIS062_F_Kitosrinkodaro2Geriamojovande1">'[1]Forma 9'!$AA$153</definedName>
    <definedName name="SIS062_F_Kitosrinkodaro2Paslaugaproduk8">'[1]Forma 9'!$AB$153</definedName>
    <definedName name="SIS062_F_Kitosrinkodaro2Paslaugaproduk9">'[1]Forma 9'!$AD$153</definedName>
    <definedName name="SIS062_F_Kitossanaudoss1Geriamojovande1">'[1]Forma 9'!$AA$20</definedName>
    <definedName name="SIS062_F_Kitossanaudoss1Paslaugaproduk8">'[1]Forma 9'!$AB$20</definedName>
    <definedName name="SIS062_F_Kitossanaudoss1Paslaugaproduk9">'[1]Forma 9'!$AD$20</definedName>
    <definedName name="SIS062_F_Kitossanaudoss2Geriamojovande1">'[1]Forma 9'!$AA$29</definedName>
    <definedName name="SIS062_F_Kitossanaudoss2Paslaugaproduk8">'[1]Forma 9'!$AB$29</definedName>
    <definedName name="SIS062_F_Kitossanaudoss2Paslaugaproduk9">'[1]Forma 9'!$AD$29</definedName>
    <definedName name="SIS062_F_Kitossanaudoss3Geriamojovande1">'[1]Forma 9'!$AA$32</definedName>
    <definedName name="SIS062_F_Kitossanaudoss3Paslaugaproduk8">'[1]Forma 9'!$AB$32</definedName>
    <definedName name="SIS062_F_Kitossanaudoss3Paslaugaproduk9">'[1]Forma 9'!$AD$32</definedName>
    <definedName name="SIS062_F_Kitossanaudoss4Geriamojovande1">'[1]Forma 9'!$AA$36</definedName>
    <definedName name="SIS062_F_Kitossanaudoss4Paslaugaproduk8">'[1]Forma 9'!$AB$36</definedName>
    <definedName name="SIS062_F_Kitossanaudoss4Paslaugaproduk9">'[1]Forma 9'!$AD$36</definedName>
    <definedName name="SIS062_F_Kitossanaudoss5Geriamojovande1">'[1]Forma 9'!$AA$39</definedName>
    <definedName name="SIS062_F_Kitossanaudoss5Paslaugaproduk8">'[1]Forma 9'!$AB$39</definedName>
    <definedName name="SIS062_F_Kitossanaudoss5Paslaugaproduk9">'[1]Forma 9'!$AD$39</definedName>
    <definedName name="SIS062_F_Kitossanaudoss6Geriamojovande1">'[1]Forma 9'!$AA$40</definedName>
    <definedName name="SIS062_F_Kitossanaudoss6Paslaugaproduk8">'[1]Forma 9'!$AB$40</definedName>
    <definedName name="SIS062_F_Kitossanaudoss6Paslaugaproduk9">'[1]Forma 9'!$AD$40</definedName>
    <definedName name="SIS062_F_Kitossanaudoss7Geriamojovande1">'[1]Forma 9'!$AA$156</definedName>
    <definedName name="SIS062_F_Kitossanaudoss7Paslaugaproduk8">'[1]Forma 9'!$AB$156</definedName>
    <definedName name="SIS062_F_Kitossanaudoss7Paslaugaproduk9">'[1]Forma 9'!$AD$156</definedName>
    <definedName name="SIS062_F_Kitossupersona1Geriamojovande1">'[1]Forma 9'!$AA$112</definedName>
    <definedName name="SIS062_F_Kitossupersona1Paslaugaproduk8">'[1]Forma 9'!$AB$112</definedName>
    <definedName name="SIS062_F_Kitossupersona1Paslaugaproduk9">'[1]Forma 9'!$AD$112</definedName>
    <definedName name="SIS062_F_Kitossupersona2Geriamojovande1">'[1]Forma 9'!$AA$113</definedName>
    <definedName name="SIS062_F_Kitossupersona2Paslaugaproduk8">'[1]Forma 9'!$AB$113</definedName>
    <definedName name="SIS062_F_Kitossupersona2Paslaugaproduk9">'[1]Forma 9'!$AD$113</definedName>
    <definedName name="SIS062_F_Kitossupersona3Geriamojovande1">'[1]Forma 9'!$AA$114</definedName>
    <definedName name="SIS062_F_Kitossupersona3Paslaugaproduk8">'[1]Forma 9'!$AB$114</definedName>
    <definedName name="SIS062_F_Kitossupersona3Paslaugaproduk9">'[1]Forma 9'!$AD$114</definedName>
    <definedName name="SIS062_F_Kitossupersona4Geriamojovande1">'[1]Forma 9'!$AA$115</definedName>
    <definedName name="SIS062_F_Kitossupersona4Paslaugaproduk8">'[1]Forma 9'!$AB$115</definedName>
    <definedName name="SIS062_F_Kitossupersona4Paslaugaproduk9">'[1]Forma 9'!$AD$115</definedName>
    <definedName name="SIS062_F_Kitumasinuirir1Geriamojovande1">'[1]Forma 9'!$AA$69</definedName>
    <definedName name="SIS062_F_Kitumasinuirir1Paslaugaproduk8">'[1]Forma 9'!$AB$69</definedName>
    <definedName name="SIS062_F_Kitumasinuirir1Paslaugaproduk9">'[1]Forma 9'!$AD$69</definedName>
    <definedName name="SIS062_F_Kitumokesciuva1Geriamojovande1">'[1]Forma 9'!$AA$123</definedName>
    <definedName name="SIS062_F_Kitumokesciuva1Paslaugaproduk8">'[1]Forma 9'!$AB$123</definedName>
    <definedName name="SIS062_F_Kitumokesciuva1Paslaugaproduk9">'[1]Forma 9'!$AD$123</definedName>
    <definedName name="SIS062_F_Kituobjektunur1Geriamojovande1">'[1]Forma 9'!$AA$82</definedName>
    <definedName name="SIS062_F_Kituobjektunur1Paslaugaproduk8">'[1]Forma 9'!$AB$82</definedName>
    <definedName name="SIS062_F_Kituobjektunur1Paslaugaproduk9">'[1]Forma 9'!$AD$82</definedName>
    <definedName name="SIS062_F_Komunalinespas1Geriamojovande1">'[1]Forma 9'!$AA$138</definedName>
    <definedName name="SIS062_F_Komunalinespas1Paslaugaproduk8">'[1]Forma 9'!$AB$138</definedName>
    <definedName name="SIS062_F_Komunalinespas1Paslaugaproduk9">'[1]Forma 9'!$AD$138</definedName>
    <definedName name="SIS062_F_Komunaliniupas1Geriamojovande1">'[1]Forma 9'!$AA$94</definedName>
    <definedName name="SIS062_F_Komunaliniupas1Paslaugaproduk8">'[1]Forma 9'!$AB$94</definedName>
    <definedName name="SIS062_F_Komunaliniupas1Paslaugaproduk9">'[1]Forma 9'!$AD$94</definedName>
    <definedName name="SIS062_F_Konsultacinesp1Geriamojovande1">'[1]Forma 9'!$AA$132</definedName>
    <definedName name="SIS062_F_Konsultacinesp1Paslaugaproduk8">'[1]Forma 9'!$AB$132</definedName>
    <definedName name="SIS062_F_Konsultacinesp1Paslaugaproduk9">'[1]Forma 9'!$AD$132</definedName>
    <definedName name="SIS062_F_Labdaraparamas1Geriamojovande1">'[1]Forma 9'!$AA$167</definedName>
    <definedName name="SIS062_F_Labdaraparamas1Paslaugaproduk8">'[1]Forma 9'!$AB$167</definedName>
    <definedName name="SIS062_F_Labdaraparamas1Paslaugaproduk9">'[1]Forma 9'!$AD$167</definedName>
    <definedName name="SIS062_F_Laboratoriniai1Geriamojovande1">'[1]Forma 9'!$AA$45</definedName>
    <definedName name="SIS062_F_Laboratoriniai1Paslaugaproduk8">'[1]Forma 9'!$AB$45</definedName>
    <definedName name="SIS062_F_Laboratoriniai1Paslaugaproduk9">'[1]Forma 9'!$AD$45</definedName>
    <definedName name="SIS062_F_Likviduotonura1Geriamojovande1">'[1]Forma 9'!$AA$165</definedName>
    <definedName name="SIS062_F_Likviduotonura1Paslaugaproduk8">'[1]Forma 9'!$AB$165</definedName>
    <definedName name="SIS062_F_Likviduotonura1Paslaugaproduk9">'[1]Forma 9'!$AD$165</definedName>
    <definedName name="SIS062_F_Masinuirirengi1Geriamojovande1">'[1]Forma 9'!$AA$65</definedName>
    <definedName name="SIS062_F_Masinuirirengi1Paslaugaproduk8">'[1]Forma 9'!$AB$65</definedName>
    <definedName name="SIS062_F_Masinuirirengi1Paslaugaproduk9">'[1]Forma 9'!$AD$65</definedName>
    <definedName name="SIS062_F_Masinuirirengi2Geriamojovande1">'[1]Forma 9'!$AA$66</definedName>
    <definedName name="SIS062_F_Masinuirirengi2Paslaugaproduk8">'[1]Forma 9'!$AB$66</definedName>
    <definedName name="SIS062_F_Masinuirirengi2Paslaugaproduk9">'[1]Forma 9'!$AD$66</definedName>
    <definedName name="SIS062_F_Masinuirirengi3Geriamojovande1">'[1]Forma 9'!$AA$67</definedName>
    <definedName name="SIS062_F_Masinuirirengi3Paslaugaproduk8">'[1]Forma 9'!$AB$67</definedName>
    <definedName name="SIS062_F_Masinuirirengi3Paslaugaproduk9">'[1]Forma 9'!$AD$67</definedName>
    <definedName name="SIS062_F_Masinuirirengi4Geriamojovande1">'[1]Forma 9'!$AA$68</definedName>
    <definedName name="SIS062_F_Masinuirirengi4Paslaugaproduk8">'[1]Forma 9'!$AB$68</definedName>
    <definedName name="SIS062_F_Masinuirirengi4Paslaugaproduk9">'[1]Forma 9'!$AD$68</definedName>
    <definedName name="SIS062_F_Mazavercioinve1Geriamojovande1">'[1]Forma 9'!$AA$92</definedName>
    <definedName name="SIS062_F_Mazavercioinve1Paslaugaproduk8">'[1]Forma 9'!$AB$92</definedName>
    <definedName name="SIS062_F_Mazavercioinve1Paslaugaproduk9">'[1]Forma 9'!$AD$92</definedName>
    <definedName name="SIS062_F_Mazutoisigijim1Geriamojovande1">'[1]Forma 9'!$AA$23</definedName>
    <definedName name="SIS062_F_Mazutoisigijim1Paslaugaproduk8">'[1]Forma 9'!$AB$23</definedName>
    <definedName name="SIS062_F_Mazutoisigijim1Paslaugaproduk9">'[1]Forma 9'!$AD$23</definedName>
    <definedName name="SIS062_F_Medienosisigij1Geriamojovande1">'[1]Forma 9'!$AA$24</definedName>
    <definedName name="SIS062_F_Medienosisigij1Paslaugaproduk8">'[1]Forma 9'!$AB$24</definedName>
    <definedName name="SIS062_F_Medienosisigij1Paslaugaproduk9">'[1]Forma 9'!$AD$24</definedName>
    <definedName name="SIS062_F_Medziaguzaliav1Geriamojovande1">'[1]Forma 9'!$AA$83</definedName>
    <definedName name="SIS062_F_Medziaguzaliav1Paslaugaproduk8">'[1]Forma 9'!$AB$83</definedName>
    <definedName name="SIS062_F_Medziaguzaliav1Paslaugaproduk9">'[1]Forma 9'!$AD$83</definedName>
    <definedName name="SIS062_F_Medziaguzaliav2Geriamojovande1">'[1]Forma 9'!$AA$84</definedName>
    <definedName name="SIS062_F_Medziaguzaliav2Paslaugaproduk8">'[1]Forma 9'!$AB$84</definedName>
    <definedName name="SIS062_F_Medziaguzaliav2Paslaugaproduk9">'[1]Forma 9'!$AD$84</definedName>
    <definedName name="SIS062_F_Medziaguzaliav3Geriamojovande1">'[1]Forma 9'!$AA$85</definedName>
    <definedName name="SIS062_F_Medziaguzaliav3Paslaugaproduk8">'[1]Forma 9'!$AB$85</definedName>
    <definedName name="SIS062_F_Medziaguzaliav3Paslaugaproduk9">'[1]Forma 9'!$AD$85</definedName>
    <definedName name="SIS062_F_Medziaguzaliav4Geriamojovande1">'[1]Forma 9'!$AA$86</definedName>
    <definedName name="SIS062_F_Medziaguzaliav4Paslaugaproduk8">'[1]Forma 9'!$AB$86</definedName>
    <definedName name="SIS062_F_Medziaguzaliav4Paslaugaproduk9">'[1]Forma 9'!$AD$86</definedName>
    <definedName name="SIS062_F_Medziaguzaliav5Geriamojovande1">'[1]Forma 9'!$AA$87</definedName>
    <definedName name="SIS062_F_Medziaguzaliav5Paslaugaproduk8">'[1]Forma 9'!$AB$87</definedName>
    <definedName name="SIS062_F_Medziaguzaliav5Paslaugaproduk9">'[1]Forma 9'!$AD$87</definedName>
    <definedName name="SIS062_F_Metrologinespa1Geriamojovande1">'[1]Forma 9'!$AA$98</definedName>
    <definedName name="SIS062_F_Metrologinespa1Paslaugaproduk8">'[1]Forma 9'!$AB$98</definedName>
    <definedName name="SIS062_F_Metrologinespa1Paslaugaproduk9">'[1]Forma 9'!$AD$98</definedName>
    <definedName name="SIS062_F_Mokymukvalifik1Geriamojovande1">'[1]Forma 9'!$AA$108</definedName>
    <definedName name="SIS062_F_Mokymukvalifik1Paslaugaproduk8">'[1]Forma 9'!$AB$108</definedName>
    <definedName name="SIS062_F_Mokymukvalifik1Paslaugaproduk9">'[1]Forma 9'!$AD$108</definedName>
    <definedName name="SIS062_F_Muitinesireksp1Geriamojovande1">'[1]Forma 9'!$AA$97</definedName>
    <definedName name="SIS062_F_Muitinesireksp1Paslaugaproduk8">'[1]Forma 9'!$AB$97</definedName>
    <definedName name="SIS062_F_Muitinesireksp1Paslaugaproduk9">'[1]Forma 9'!$AD$97</definedName>
    <definedName name="SIS062_F_Narystesstojam1Geriamojovande1">'[1]Forma 9'!$AA$164</definedName>
    <definedName name="SIS062_F_Narystesstojam1Paslaugaproduk8">'[1]Forma 9'!$AB$164</definedName>
    <definedName name="SIS062_F_Narystesstojam1Paslaugaproduk9">'[1]Forma 9'!$AD$164</definedName>
    <definedName name="SIS062_F_Neigiamosmoket1Geriamojovande1">'[1]Forma 9'!$AA$127</definedName>
    <definedName name="SIS062_F_Neigiamosmoket1Paslaugaproduk8">'[1]Forma 9'!$AB$127</definedName>
    <definedName name="SIS062_F_Neigiamosmoket1Paslaugaproduk9">'[1]Forma 9'!$AD$127</definedName>
    <definedName name="SIS062_F_Nekilnojamotur1Geriamojovande1">'[1]Forma 9'!$AA$118</definedName>
    <definedName name="SIS062_F_Nekilnojamotur1Paslaugaproduk8">'[1]Forma 9'!$AB$118</definedName>
    <definedName name="SIS062_F_Nekilnojamotur1Paslaugaproduk9">'[1]Forma 9'!$AD$118</definedName>
    <definedName name="SIS062_F_Nuotekutvarkym1Geriamojovande1">'[1]Forma 9'!$AA$35</definedName>
    <definedName name="SIS062_F_Nuotekutvarkym1Paslaugaproduk8">'[1]Forma 9'!$AB$35</definedName>
    <definedName name="SIS062_F_Nuotekutvarkym1Paslaugaproduk9">'[1]Forma 9'!$AD$35</definedName>
    <definedName name="SIS062_F_Nuotolinesduom1Geriamojovande1">'[1]Forma 9'!$AA$89</definedName>
    <definedName name="SIS062_F_Nuotolinesduom1Paslaugaproduk8">'[1]Forma 9'!$AB$89</definedName>
    <definedName name="SIS062_F_Nuotolinesduom1Paslaugaproduk9">'[1]Forma 9'!$AD$89</definedName>
    <definedName name="SIS062_F_Nurasytuatsisk1Geriamojovande1">'[1]Forma 9'!$AA$166</definedName>
    <definedName name="SIS062_F_Nurasytuatsisk1Paslaugaproduk8">'[1]Forma 9'!$AB$166</definedName>
    <definedName name="SIS062_F_Nurasytuatsisk1Paslaugaproduk9">'[1]Forma 9'!$AD$166</definedName>
    <definedName name="SIS062_F_Orginventoriau1Geriamojovande1">'[1]Forma 9'!$AA$136</definedName>
    <definedName name="SIS062_F_Orginventoriau1Paslaugaproduk8">'[1]Forma 9'!$AB$136</definedName>
    <definedName name="SIS062_F_Orginventoriau1Paslaugaproduk9">'[1]Forma 9'!$AD$136</definedName>
    <definedName name="SIS062_F_Palukanusanaud1Geriamojovande1">'[1]Forma 9'!$AA$126</definedName>
    <definedName name="SIS062_F_Palukanusanaud1Paslaugaproduk8">'[1]Forma 9'!$AB$126</definedName>
    <definedName name="SIS062_F_Palukanusanaud1Paslaugaproduk9">'[1]Forma 9'!$AD$126</definedName>
    <definedName name="SIS062_F_Papildomodarbu1Geriamojovande1">'[1]Forma 9'!$AA$107</definedName>
    <definedName name="SIS062_F_Papildomodarbu1Paslaugaproduk8">'[1]Forma 9'!$AB$107</definedName>
    <definedName name="SIS062_F_Papildomodarbu1Paslaugaproduk9">'[1]Forma 9'!$AD$107</definedName>
    <definedName name="SIS062_F_Pastopasiuntin1Geriamojovande1">'[1]Forma 9'!$AA$134</definedName>
    <definedName name="SIS062_F_Pastopasiuntin1Paslaugaproduk8">'[1]Forma 9'!$AB$134</definedName>
    <definedName name="SIS062_F_Pastopasiuntin1Paslaugaproduk9">'[1]Forma 9'!$AD$134</definedName>
    <definedName name="SIS062_F_Patalpuneadmin1Geriamojovande1">'[1]Forma 9'!$AA$90</definedName>
    <definedName name="SIS062_F_Patalpuneadmin1Paslaugaproduk8">'[1]Forma 9'!$AB$90</definedName>
    <definedName name="SIS062_F_Patalpuneadmin1Paslaugaproduk9">'[1]Forma 9'!$AD$90</definedName>
    <definedName name="SIS062_F_Patalpuprieziu1Geriamojovande1">'[1]Forma 9'!$AA$139</definedName>
    <definedName name="SIS062_F_Patalpuprieziu1Paslaugaproduk8">'[1]Forma 9'!$AB$139</definedName>
    <definedName name="SIS062_F_Patalpuprieziu1Paslaugaproduk9">'[1]Forma 9'!$AD$139</definedName>
    <definedName name="SIS062_F_Patentulicenci1Geriamojovande1">'[1]Forma 9'!$AA$52</definedName>
    <definedName name="SIS062_F_Patentulicenci1Paslaugaproduk8">'[1]Forma 9'!$AB$52</definedName>
    <definedName name="SIS062_F_Patentulicenci1Paslaugaproduk9">'[1]Forma 9'!$AD$52</definedName>
    <definedName name="SIS062_F_Pelenutvarkymo1Geriamojovande1">'[1]Forma 9'!$AA$42</definedName>
    <definedName name="SIS062_F_Pelenutvarkymo1Paslaugaproduk8">'[1]Forma 9'!$AB$42</definedName>
    <definedName name="SIS062_F_Pelenutvarkymo1Paslaugaproduk9">'[1]Forma 9'!$AD$42</definedName>
    <definedName name="SIS062_F_Pletrosdarbunu1Geriamojovande1">'[1]Forma 9'!$AA$50</definedName>
    <definedName name="SIS062_F_Pletrosdarbunu1Paslaugaproduk8">'[1]Forma 9'!$AB$50</definedName>
    <definedName name="SIS062_F_Pletrosdarbunu1Paslaugaproduk9">'[1]Forma 9'!$AD$50</definedName>
    <definedName name="SIS062_F_Prekeszenkloiv1Geriamojovande1">'[1]Forma 9'!$AA$146</definedName>
    <definedName name="SIS062_F_Prekeszenkloiv1Paslaugaproduk8">'[1]Forma 9'!$AB$146</definedName>
    <definedName name="SIS062_F_Prekeszenkloiv1Paslaugaproduk9">'[1]Forma 9'!$AD$146</definedName>
    <definedName name="SIS062_F_Prestizonuside1Geriamojovande1">'[1]Forma 9'!$AA$51</definedName>
    <definedName name="SIS062_F_Prestizonuside1Paslaugaproduk8">'[1]Forma 9'!$AB$51</definedName>
    <definedName name="SIS062_F_Prestizonuside1Paslaugaproduk9">'[1]Forma 9'!$AD$51</definedName>
    <definedName name="SIS062_F_Priskaitytosba1Geriamojovande1">'[1]Forma 9'!$AA$169</definedName>
    <definedName name="SIS062_F_Priskaitytosba1Paslaugaproduk8">'[1]Forma 9'!$AB$169</definedName>
    <definedName name="SIS062_F_Priskaitytosba1Paslaugaproduk9">'[1]Forma 9'!$AD$169</definedName>
    <definedName name="SIS062_F_Privalomovarto1Geriamojovande1">'[1]Forma 9'!$AA$145</definedName>
    <definedName name="SIS062_F_Privalomovarto1Paslaugaproduk8">'[1]Forma 9'!$AB$145</definedName>
    <definedName name="SIS062_F_Privalomovarto1Paslaugaproduk9">'[1]Forma 9'!$AD$145</definedName>
    <definedName name="SIS062_F_Profesineliter1Geriamojovande1">'[1]Forma 9'!$AA$137</definedName>
    <definedName name="SIS062_F_Profesineliter1Paslaugaproduk8">'[1]Forma 9'!$AB$137</definedName>
    <definedName name="SIS062_F_Profesineliter1Paslaugaproduk9">'[1]Forma 9'!$AD$137</definedName>
    <definedName name="SIS062_F_Programinesira1Geriamojovande1">'[1]Forma 9'!$AA$53</definedName>
    <definedName name="SIS062_F_Programinesira1Paslaugaproduk8">'[1]Forma 9'!$AB$53</definedName>
    <definedName name="SIS062_F_Programinesira1Paslaugaproduk9">'[1]Forma 9'!$AD$53</definedName>
    <definedName name="SIS062_F_Reklamospaslau1Geriamojovande1">'[1]Forma 9'!$AA$144</definedName>
    <definedName name="SIS062_F_Reklamospaslau1Paslaugaproduk8">'[1]Forma 9'!$AB$144</definedName>
    <definedName name="SIS062_F_Reklamospaslau1Paslaugaproduk9">'[1]Forma 9'!$AD$144</definedName>
    <definedName name="SIS062_F_Reprezentacijo1Geriamojovande1">'[1]Forma 9'!$AA$150</definedName>
    <definedName name="SIS062_F_Reprezentacijo1Paslaugaproduk8">'[1]Forma 9'!$AB$150</definedName>
    <definedName name="SIS062_F_Reprezentacijo1Paslaugaproduk9">'[1]Forma 9'!$AD$150</definedName>
    <definedName name="SIS062_F_Rezerviniokuro1Geriamojovande1">'[1]Forma 9'!$AA$91</definedName>
    <definedName name="SIS062_F_Rezerviniokuro1Paslaugaproduk8">'[1]Forma 9'!$AB$91</definedName>
    <definedName name="SIS062_F_Rezerviniokuro1Paslaugaproduk9">'[1]Forma 9'!$AD$91</definedName>
    <definedName name="SIS062_F_Rinkostyrimusa1Geriamojovande1">'[1]Forma 9'!$AA$147</definedName>
    <definedName name="SIS062_F_Rinkostyrimusa1Paslaugaproduk8">'[1]Forma 9'!$AB$147</definedName>
    <definedName name="SIS062_F_Rinkostyrimusa1Paslaugaproduk9">'[1]Forma 9'!$AD$147</definedName>
    <definedName name="SIS062_F_Rysiupaslaugos1Geriamojovande1">'[1]Forma 9'!$AA$133</definedName>
    <definedName name="SIS062_F_Rysiupaslaugos1Paslaugaproduk8">'[1]Forma 9'!$AB$133</definedName>
    <definedName name="SIS062_F_Rysiupaslaugos1Paslaugaproduk9">'[1]Forma 9'!$AD$133</definedName>
    <definedName name="SIS062_F_Saskaituvartot1Geriamojovande1">'[1]Forma 9'!$AA$148</definedName>
    <definedName name="SIS062_F_Saskaituvartot1Paslaugaproduk8">'[1]Forma 9'!$AB$148</definedName>
    <definedName name="SIS062_F_Saskaituvartot1Paslaugaproduk9">'[1]Forma 9'!$AD$148</definedName>
    <definedName name="SIS062_F_Silumosisigiji2Geriamojovande1">'[1]Forma 9'!$AA$19</definedName>
    <definedName name="SIS062_F_Silumosisigiji2Paslaugaproduk8">'[1]Forma 9'!$AB$19</definedName>
    <definedName name="SIS062_F_Silumosisigiji2Paslaugaproduk9">'[1]Forma 9'!$AD$19</definedName>
    <definedName name="SIS062_F_Silumospunktue1Geriamojovande1">'[1]Forma 9'!$AA$80</definedName>
    <definedName name="SIS062_F_Silumospunktue1Paslaugaproduk8">'[1]Forma 9'!$AB$80</definedName>
    <definedName name="SIS062_F_Silumospunktue1Paslaugaproduk9">'[1]Forma 9'!$AD$80</definedName>
    <definedName name="SIS062_F_Silumosukiotur2Geriamojovande1">'[1]Forma 9'!$AA$155</definedName>
    <definedName name="SIS062_F_Silumosukiotur2Paslaugaproduk8">'[1]Forma 9'!$AB$155</definedName>
    <definedName name="SIS062_F_Silumosukiotur2Paslaugaproduk9">'[1]Forma 9'!$AD$155</definedName>
    <definedName name="SIS062_F_Skoluisieskoji1Geriamojovande1">'[1]Forma 9'!$AA$163</definedName>
    <definedName name="SIS062_F_Skoluisieskoji1Paslaugaproduk8">'[1]Forma 9'!$AB$163</definedName>
    <definedName name="SIS062_F_Skoluisieskoji1Paslaugaproduk9">'[1]Forma 9'!$AD$163</definedName>
    <definedName name="SIS062_F_Svietimoirkons1Geriamojovande1">'[1]Forma 9'!$AA$151</definedName>
    <definedName name="SIS062_F_Svietimoirkons1Paslaugaproduk8">'[1]Forma 9'!$AB$151</definedName>
    <definedName name="SIS062_F_Svietimoirkons1Paslaugaproduk9">'[1]Forma 9'!$AD$151</definedName>
    <definedName name="SIS062_F_Tantjemos1Geriamojovande1">'[1]Forma 9'!$AA$170</definedName>
    <definedName name="SIS062_F_Tantjemos1Paslaugaproduk8">'[1]Forma 9'!$AB$170</definedName>
    <definedName name="SIS062_F_Tantjemos1Paslaugaproduk9">'[1]Forma 9'!$AD$170</definedName>
    <definedName name="SIS062_F_Teisinespaslau1Geriamojovande1">'[1]Forma 9'!$AA$131</definedName>
    <definedName name="SIS062_F_Teisinespaslau1Paslaugaproduk8">'[1]Forma 9'!$AB$131</definedName>
    <definedName name="SIS062_F_Teisinespaslau1Paslaugaproduk9">'[1]Forma 9'!$AD$131</definedName>
    <definedName name="SIS062_F_Tinklueinamojo1Geriamojovande1">'[1]Forma 9'!$AA$79</definedName>
    <definedName name="SIS062_F_Tinklueinamojo1Paslaugaproduk8">'[1]Forma 9'!$AB$79</definedName>
    <definedName name="SIS062_F_Tinklueinamojo1Paslaugaproduk9">'[1]Forma 9'!$AD$79</definedName>
    <definedName name="SIS062_F_Transportoprie1Geriamojovande1">'[1]Forma 9'!$AA$73</definedName>
    <definedName name="SIS062_F_Transportoprie1Paslaugaproduk8">'[1]Forma 9'!$AB$73</definedName>
    <definedName name="SIS062_F_Transportoprie1Paslaugaproduk9">'[1]Forma 9'!$AD$73</definedName>
    <definedName name="SIS062_F_Transportoprie2Geriamojovande1">'[1]Forma 9'!$AA$95</definedName>
    <definedName name="SIS062_F_Transportoprie2Paslaugaproduk8">'[1]Forma 9'!$AB$95</definedName>
    <definedName name="SIS062_F_Transportoprie2Paslaugaproduk9">'[1]Forma 9'!$AD$95</definedName>
    <definedName name="SIS062_F_Transportoprie3Geriamojovande1">'[1]Forma 9'!$AA$96</definedName>
    <definedName name="SIS062_F_Transportoprie3Paslaugaproduk8">'[1]Forma 9'!$AB$96</definedName>
    <definedName name="SIS062_F_Transportoprie3Paslaugaproduk9">'[1]Forma 9'!$AD$96</definedName>
    <definedName name="SIS062_F_Turtodraudimos1Geriamojovande1">'[1]Forma 9'!$AA$158</definedName>
    <definedName name="SIS062_F_Turtodraudimos1Paslaugaproduk8">'[1]Forma 9'!$AB$158</definedName>
    <definedName name="SIS062_F_Turtodraudimos1Paslaugaproduk9">'[1]Forma 9'!$AD$158</definedName>
    <definedName name="SIS062_F_Turtonuomosnes1Geriamojovande1">'[1]Forma 9'!$AA$93</definedName>
    <definedName name="SIS062_F_Turtonuomosnes1Paslaugaproduk8">'[1]Forma 9'!$AB$93</definedName>
    <definedName name="SIS062_F_Turtonuomosnes1Paslaugaproduk9">'[1]Forma 9'!$AD$93</definedName>
    <definedName name="SIS062_F_Valstybiniuist1Geriamojovande1">'[1]Forma 9'!$AA$120</definedName>
    <definedName name="SIS062_F_Valstybiniuist1Paslaugaproduk8">'[1]Forma 9'!$AB$120</definedName>
    <definedName name="SIS062_F_Valstybiniuist1Paslaugaproduk9">'[1]Forma 9'!$AD$120</definedName>
    <definedName name="SIS062_F_Vandenstechnol2Geriamojovande1">'[1]Forma 9'!$AA$34</definedName>
    <definedName name="SIS062_F_Vandenstechnol2Paslaugaproduk8">'[1]Forma 9'!$AB$34</definedName>
    <definedName name="SIS062_F_Vandenstechnol2Paslaugaproduk9">'[1]Forma 9'!$AD$34</definedName>
    <definedName name="SIS062_F_Vartotojumokej1Geriamojovande1">'[1]Forma 9'!$AA$149</definedName>
    <definedName name="SIS062_F_Vartotojumokej1Paslaugaproduk8">'[1]Forma 9'!$AB$149</definedName>
    <definedName name="SIS062_F_Vartotojumokej1Paslaugaproduk9">'[1]Forma 9'!$AD$149</definedName>
    <definedName name="SIS062_F_Veiklosrizikos1Geriamojovande1">'[1]Forma 9'!$AA$159</definedName>
    <definedName name="SIS062_F_Veiklosrizikos1Paslaugaproduk8">'[1]Forma 9'!$AB$159</definedName>
    <definedName name="SIS062_F_Veiklosrizikos1Paslaugaproduk9">'[1]Forma 9'!$AD$159</definedName>
    <definedName name="SIS062_F_Zemesmokescios1Geriamojovande1">'[1]Forma 9'!$AA$117</definedName>
    <definedName name="SIS062_F_Zemesmokescios1Paslaugaproduk8">'[1]Forma 9'!$AB$117</definedName>
    <definedName name="SIS062_F_Zemesmokescios1Paslaugaproduk9">'[1]Forma 9'!$AD$117</definedName>
    <definedName name="SIS062_F_Zyminiomokesci1Geriamojovande1">'[1]Forma 9'!$AA$121</definedName>
    <definedName name="SIS062_F_Zyminiomokesci1Paslaugaproduk8">'[1]Forma 9'!$AB$121</definedName>
    <definedName name="SIS062_F_Zyminiomokesci1Paslaugaproduk9">'[1]Forma 9'!$AD$121</definedName>
    <definedName name="SIS063_F_Administracine1Geriamojovande1">'[1]Forma 10'!$AA$62</definedName>
    <definedName name="SIS063_F_Administracine1Paslaugaproduk8">'[1]Forma 10'!$AB$62</definedName>
    <definedName name="SIS063_F_Administracine1Paslaugaproduk9">'[1]Forma 10'!$AD$62</definedName>
    <definedName name="SIS063_F_Apyvartiniutar2Geriamojovande1">'[1]Forma 10'!$AA$38</definedName>
    <definedName name="SIS063_F_Apyvartiniutar2Paslaugaproduk8">'[1]Forma 10'!$AB$38</definedName>
    <definedName name="SIS063_F_Apyvartiniutar2Paslaugaproduk9">'[1]Forma 10'!$AD$38</definedName>
    <definedName name="SIS063_F_Aplinkostarsos1Geriamojovande1">'[1]Forma 10'!$AA$119</definedName>
    <definedName name="SIS063_F_Aplinkostarsos1Paslaugaproduk8">'[1]Forma 10'!$AB$119</definedName>
    <definedName name="SIS063_F_Aplinkostarsos1Paslaugaproduk9">'[1]Forma 10'!$AD$119</definedName>
    <definedName name="SIS063_F_Apsauginiaiird1Geriamojovande1">'[1]Forma 10'!$AA$110</definedName>
    <definedName name="SIS063_F_Apsauginiaiird1Paslaugaproduk8">'[1]Forma 10'!$AB$110</definedName>
    <definedName name="SIS063_F_Apsauginiaiird1Paslaugaproduk9">'[1]Forma 10'!$AD$110</definedName>
    <definedName name="SIS063_F_Atsiskaitomuju1Geriamojovande1">'[1]Forma 10'!$AA$88</definedName>
    <definedName name="SIS063_F_Atsiskaitomuju1Paslaugaproduk8">'[1]Forma 10'!$AB$88</definedName>
    <definedName name="SIS063_F_Atsiskaitomuju1Paslaugaproduk9">'[1]Forma 10'!$AD$88</definedName>
    <definedName name="SIS063_F_Auditofinansin1Geriamojovande1">'[1]Forma 10'!$AA$160</definedName>
    <definedName name="SIS063_F_Auditofinansin1Paslaugaproduk8">'[1]Forma 10'!$AB$160</definedName>
    <definedName name="SIS063_F_Auditofinansin1Paslaugaproduk9">'[1]Forma 10'!$AD$160</definedName>
    <definedName name="SIS063_F_Auditokitosana1Geriamojovande1">'[1]Forma 10'!$AA$162</definedName>
    <definedName name="SIS063_F_Auditokitosana1Paslaugaproduk8">'[1]Forma 10'!$AB$162</definedName>
    <definedName name="SIS063_F_Auditokitosana1Paslaugaproduk9">'[1]Forma 10'!$AD$162</definedName>
    <definedName name="SIS063_F_Auditoreguliuo1Geriamojovande1">'[1]Forma 10'!$AA$161</definedName>
    <definedName name="SIS063_F_Auditoreguliuo1Paslaugaproduk8">'[1]Forma 10'!$AB$161</definedName>
    <definedName name="SIS063_F_Auditoreguliuo1Paslaugaproduk9">'[1]Forma 10'!$AD$161</definedName>
    <definedName name="SIS063_F_Bankopaslauguk1Geriamojovande1">'[1]Forma 10'!$AA$125</definedName>
    <definedName name="SIS063_F_Bankopaslauguk1Paslaugaproduk8">'[1]Forma 10'!$AB$125</definedName>
    <definedName name="SIS063_F_Bankopaslauguk1Paslaugaproduk9">'[1]Forma 10'!$AD$125</definedName>
    <definedName name="SIS063_F_Beviltiskossko1Geriamojovande1">'[1]Forma 10'!$AA$168</definedName>
    <definedName name="SIS063_F_Beviltiskossko1Paslaugaproduk8">'[1]Forma 10'!$AB$168</definedName>
    <definedName name="SIS063_F_Beviltiskossko1Paslaugaproduk9">'[1]Forma 10'!$AD$168</definedName>
    <definedName name="SIS063_F_Cheminesmedzia1Geriamojovande1">'[1]Forma 10'!$AA$46</definedName>
    <definedName name="SIS063_F_Cheminesmedzia1Paslaugaproduk8">'[1]Forma 10'!$AB$46</definedName>
    <definedName name="SIS063_F_Cheminesmedzia1Paslaugaproduk9">'[1]Forma 10'!$AD$46</definedName>
    <definedName name="SIS063_F_Darbdavioimoku1Geriamojovande1">'[1]Forma 10'!$AA$106</definedName>
    <definedName name="SIS063_F_Darbdavioimoku1Paslaugaproduk8">'[1]Forma 10'!$AB$106</definedName>
    <definedName name="SIS063_F_Darbdavioimoku1Paslaugaproduk9">'[1]Forma 10'!$AD$106</definedName>
    <definedName name="SIS063_F_Darbouzmokesci1Geriamojovande1">'[1]Forma 10'!$AA$105</definedName>
    <definedName name="SIS063_F_Darbouzmokesci1Paslaugaproduk8">'[1]Forma 10'!$AB$105</definedName>
    <definedName name="SIS063_F_Darbouzmokesci1Paslaugaproduk9">'[1]Forma 10'!$AD$105</definedName>
    <definedName name="SIS063_F_Elektrosenergi4Geriamojovande1">'[1]Forma 10'!$AA$31</definedName>
    <definedName name="SIS063_F_Elektrosenergi4Paslaugaproduk8">'[1]Forma 10'!$AB$31</definedName>
    <definedName name="SIS063_F_Elektrosenergi4Paslaugaproduk9">'[1]Forma 10'!$AD$31</definedName>
    <definedName name="SIS063_F_Energetikosist1Geriamojovande1">'[1]Forma 10'!$AA$122</definedName>
    <definedName name="SIS063_F_Energetikosist1Paslaugaproduk8">'[1]Forma 10'!$AB$122</definedName>
    <definedName name="SIS063_F_Energetikosist1Paslaugaproduk9">'[1]Forma 10'!$AD$122</definedName>
    <definedName name="SIS063_F_Energijosistek1Geriamojovande1">'[1]Forma 10'!$AA$43</definedName>
    <definedName name="SIS063_F_Energijosistek1Paslaugaproduk8">'[1]Forma 10'!$AB$43</definedName>
    <definedName name="SIS063_F_Energijosistek1Paslaugaproduk9">'[1]Forma 10'!$AD$43</definedName>
    <definedName name="SIS063_F_Gamybinespaski1Geriamojovande1">'[1]Forma 10'!$AA$55</definedName>
    <definedName name="SIS063_F_Gamybinespaski1Paslaugaproduk8">'[1]Forma 10'!$AB$55</definedName>
    <definedName name="SIS063_F_Gamybinespaski1Paslaugaproduk9">'[1]Forma 10'!$AD$55</definedName>
    <definedName name="SIS063_F_Gamybinespaski2Geriamojovande1">'[1]Forma 10'!$AA$56</definedName>
    <definedName name="SIS063_F_Gamybinespaski2Paslaugaproduk8">'[1]Forma 10'!$AB$56</definedName>
    <definedName name="SIS063_F_Gamybinespaski2Paslaugaproduk9">'[1]Forma 10'!$AD$56</definedName>
    <definedName name="SIS063_F_Gamybinespaski3Geriamojovande1">'[1]Forma 10'!$AA$57</definedName>
    <definedName name="SIS063_F_Gamybinespaski3Paslaugaproduk8">'[1]Forma 10'!$AB$57</definedName>
    <definedName name="SIS063_F_Gamybinespaski3Paslaugaproduk9">'[1]Forma 10'!$AD$57</definedName>
    <definedName name="SIS063_F_Gamybosobjektu1Geriamojovande1">'[1]Forma 10'!$AA$78</definedName>
    <definedName name="SIS063_F_Gamybosobjektu1Paslaugaproduk8">'[1]Forma 10'!$AB$78</definedName>
    <definedName name="SIS063_F_Gamybosobjektu1Paslaugaproduk9">'[1]Forma 10'!$AD$78</definedName>
    <definedName name="SIS063_F_Gamtiniudujubi1Geriamojovande1">'[1]Forma 10'!$AA$44</definedName>
    <definedName name="SIS063_F_Gamtiniudujubi1Paslaugaproduk8">'[1]Forma 10'!$AB$44</definedName>
    <definedName name="SIS063_F_Gamtiniudujubi1Paslaugaproduk9">'[1]Forma 10'!$AD$44</definedName>
    <definedName name="SIS063_F_Gamtiniudujuis1Geriamojovande1">'[1]Forma 10'!$AA$22</definedName>
    <definedName name="SIS063_F_Gamtiniudujuis1Paslaugaproduk8">'[1]Forma 10'!$AB$22</definedName>
    <definedName name="SIS063_F_Gamtiniudujuis1Paslaugaproduk9">'[1]Forma 10'!$AD$22</definedName>
    <definedName name="SIS063_F_Investiciniotu1Geriamojovande1">'[1]Forma 10'!$AA$75</definedName>
    <definedName name="SIS063_F_Investiciniotu1Paslaugaproduk8">'[1]Forma 10'!$AB$75</definedName>
    <definedName name="SIS063_F_Investiciniotu1Paslaugaproduk9">'[1]Forma 10'!$AD$75</definedName>
    <definedName name="SIS063_F_Iseitinespasal1Geriamojovande1">'[1]Forma 10'!$AA$109</definedName>
    <definedName name="SIS063_F_Iseitinespasal1Paslaugaproduk8">'[1]Forma 10'!$AB$109</definedName>
    <definedName name="SIS063_F_Iseitinespasal1Paslaugaproduk9">'[1]Forma 10'!$AD$109</definedName>
    <definedName name="SIS063_F_Itaptarnavimos1Geriamojovande1">'[1]Forma 10'!$AA$81</definedName>
    <definedName name="SIS063_F_Itaptarnavimos1Paslaugaproduk8">'[1]Forma 10'!$AB$81</definedName>
    <definedName name="SIS063_F_Itaptarnavimos1Paslaugaproduk9">'[1]Forma 10'!$AD$81</definedName>
    <definedName name="SIS063_F_Kanceliariness1Geriamojovande1">'[1]Forma 10'!$AA$135</definedName>
    <definedName name="SIS063_F_Kanceliariness1Paslaugaproduk8">'[1]Forma 10'!$AB$135</definedName>
    <definedName name="SIS063_F_Kanceliariness1Paslaugaproduk9">'[1]Forma 10'!$AD$135</definedName>
    <definedName name="SIS063_F_Kelionessanaud1Geriamojovande1">'[1]Forma 10'!$AA$111</definedName>
    <definedName name="SIS063_F_Kelionessanaud1Paslaugaproduk8">'[1]Forma 10'!$AB$111</definedName>
    <definedName name="SIS063_F_Kelionessanaud1Paslaugaproduk9">'[1]Forma 10'!$AD$111</definedName>
    <definedName name="SIS063_F_Kitoilgalaikio1Geriamojovande1">'[1]Forma 10'!$AA$76</definedName>
    <definedName name="SIS063_F_Kitoilgalaikio1Paslaugaproduk8">'[1]Forma 10'!$AB$76</definedName>
    <definedName name="SIS063_F_Kitoilgalaikio1Paslaugaproduk9">'[1]Forma 10'!$AD$76</definedName>
    <definedName name="SIS063_F_Kitomaterialau1Geriamojovande1">'[1]Forma 10'!$AA$74</definedName>
    <definedName name="SIS063_F_Kitomaterialau1Paslaugaproduk8">'[1]Forma 10'!$AB$74</definedName>
    <definedName name="SIS063_F_Kitomaterialau1Paslaugaproduk9">'[1]Forma 10'!$AD$74</definedName>
    <definedName name="SIS063_F_Kitonematerial1Geriamojovande1">'[1]Forma 10'!$AA$54</definedName>
    <definedName name="SIS063_F_Kitonematerial1Paslaugaproduk8">'[1]Forma 10'!$AB$54</definedName>
    <definedName name="SIS063_F_Kitonematerial1Paslaugaproduk9">'[1]Forma 10'!$AD$54</definedName>
    <definedName name="SIS063_F_Kitosadministr1Geriamojovande1">'[1]Forma 10'!$AA$140</definedName>
    <definedName name="SIS063_F_Kitosadministr1Paslaugaproduk8">'[1]Forma 10'!$AB$140</definedName>
    <definedName name="SIS063_F_Kitosadministr1Paslaugaproduk9">'[1]Forma 10'!$AD$140</definedName>
    <definedName name="SIS063_F_Kitosadministr2Geriamojovande1">'[1]Forma 10'!$AA$141</definedName>
    <definedName name="SIS063_F_Kitosadministr2Paslaugaproduk8">'[1]Forma 10'!$AB$141</definedName>
    <definedName name="SIS063_F_Kitosadministr2Paslaugaproduk9">'[1]Forma 10'!$AD$141</definedName>
    <definedName name="SIS063_F_Kitosadministr3Geriamojovande1">'[1]Forma 10'!$AA$142</definedName>
    <definedName name="SIS063_F_Kitosadministr3Paslaugaproduk8">'[1]Forma 10'!$AB$142</definedName>
    <definedName name="SIS063_F_Kitosadministr3Paslaugaproduk9">'[1]Forma 10'!$AD$142</definedName>
    <definedName name="SIS063_F_Kitoseinamojor1Geriamojovande1">'[1]Forma 10'!$AA$99</definedName>
    <definedName name="SIS063_F_Kitoseinamojor1Paslaugaproduk8">'[1]Forma 10'!$AB$99</definedName>
    <definedName name="SIS063_F_Kitoseinamojor1Paslaugaproduk9">'[1]Forma 10'!$AD$99</definedName>
    <definedName name="SIS063_F_Kitoseinamojor2Geriamojovande1">'[1]Forma 10'!$AA$100</definedName>
    <definedName name="SIS063_F_Kitoseinamojor2Paslaugaproduk8">'[1]Forma 10'!$AB$100</definedName>
    <definedName name="SIS063_F_Kitoseinamojor2Paslaugaproduk9">'[1]Forma 10'!$AD$100</definedName>
    <definedName name="SIS063_F_Kitoseinamojor3Geriamojovande1">'[1]Forma 10'!$AA$101</definedName>
    <definedName name="SIS063_F_Kitoseinamojor3Paslaugaproduk8">'[1]Forma 10'!$AB$101</definedName>
    <definedName name="SIS063_F_Kitoseinamojor3Paslaugaproduk9">'[1]Forma 10'!$AD$101</definedName>
    <definedName name="SIS063_F_Kitoseinamojor4Geriamojovande1">'[1]Forma 10'!$AA$102</definedName>
    <definedName name="SIS063_F_Kitoseinamojor4Paslaugaproduk8">'[1]Forma 10'!$AB$102</definedName>
    <definedName name="SIS063_F_Kitoseinamojor4Paslaugaproduk9">'[1]Forma 10'!$AD$102</definedName>
    <definedName name="SIS063_F_Kitoseinamojor5Geriamojovande1">'[1]Forma 10'!$AA$103</definedName>
    <definedName name="SIS063_F_Kitoseinamojor5Paslaugaproduk8">'[1]Forma 10'!$AB$103</definedName>
    <definedName name="SIS063_F_Kitoseinamojor5Paslaugaproduk9">'[1]Forma 10'!$AD$103</definedName>
    <definedName name="SIS063_F_Kitosfinansine1Geriamojovande1">'[1]Forma 10'!$AA$128</definedName>
    <definedName name="SIS063_F_Kitosfinansine1Paslaugaproduk8">'[1]Forma 10'!$AB$128</definedName>
    <definedName name="SIS063_F_Kitosfinansine1Paslaugaproduk9">'[1]Forma 10'!$AD$128</definedName>
    <definedName name="SIS063_F_Kitosfinansine2Geriamojovande1">'[1]Forma 10'!$AA$129</definedName>
    <definedName name="SIS063_F_Kitosfinansine2Paslaugaproduk8">'[1]Forma 10'!$AB$129</definedName>
    <definedName name="SIS063_F_Kitosfinansine2Paslaugaproduk9">'[1]Forma 10'!$AD$129</definedName>
    <definedName name="SIS063_F_Kitosirangospr1Geriamojovande1">'[1]Forma 10'!$AA$64</definedName>
    <definedName name="SIS063_F_Kitosirangospr1Paslaugaproduk8">'[1]Forma 10'!$AB$64</definedName>
    <definedName name="SIS063_F_Kitosirangospr1Paslaugaproduk9">'[1]Forma 10'!$AD$64</definedName>
    <definedName name="SIS063_F_Kitosirangospr2Geriamojovande1">'[1]Forma 10'!$AA$70</definedName>
    <definedName name="SIS063_F_Kitosirangospr2Paslaugaproduk8">'[1]Forma 10'!$AB$70</definedName>
    <definedName name="SIS063_F_Kitosirangospr2Paslaugaproduk9">'[1]Forma 10'!$AD$70</definedName>
    <definedName name="SIS063_F_Kitosirangospr3Geriamojovande1">'[1]Forma 10'!$AA$71</definedName>
    <definedName name="SIS063_F_Kitosirangospr3Paslaugaproduk8">'[1]Forma 10'!$AB$71</definedName>
    <definedName name="SIS063_F_Kitosirangospr3Paslaugaproduk9">'[1]Forma 10'!$AD$71</definedName>
    <definedName name="SIS063_F_Kitosirangospr4Geriamojovande1">'[1]Forma 10'!$AA$72</definedName>
    <definedName name="SIS063_F_Kitosirangospr4Paslaugaproduk8">'[1]Forma 10'!$AB$72</definedName>
    <definedName name="SIS063_F_Kitosirangospr4Paslaugaproduk9">'[1]Forma 10'!$AD$72</definedName>
    <definedName name="SIS063_F_Kitoskintamosi2Geriamojovande1">'[1]Forma 10'!$AA$47</definedName>
    <definedName name="SIS063_F_Kitoskintamosi2Paslaugaproduk8">'[1]Forma 10'!$AB$47</definedName>
    <definedName name="SIS063_F_Kitoskintamosi2Paslaugaproduk9">'[1]Forma 10'!$AD$47</definedName>
    <definedName name="SIS063_F_Kitoskintamosi3Geriamojovande1">'[1]Forma 10'!$AA$48</definedName>
    <definedName name="SIS063_F_Kitoskintamosi3Paslaugaproduk8">'[1]Forma 10'!$AB$48</definedName>
    <definedName name="SIS063_F_Kitoskintamosi3Paslaugaproduk9">'[1]Forma 10'!$AD$48</definedName>
    <definedName name="SIS063_F_Kitoskurorusie1Geriamojovande1">'[1]Forma 10'!$AA$25</definedName>
    <definedName name="SIS063_F_Kitoskurorusie1Paslaugaproduk8">'[1]Forma 10'!$AB$25</definedName>
    <definedName name="SIS063_F_Kitoskurorusie1Paslaugaproduk9">'[1]Forma 10'!$AD$25</definedName>
    <definedName name="SIS063_F_Kitoskurorusie2Geriamojovande1">'[1]Forma 10'!$AA$26</definedName>
    <definedName name="SIS063_F_Kitoskurorusie2Paslaugaproduk8">'[1]Forma 10'!$AB$26</definedName>
    <definedName name="SIS063_F_Kitoskurorusie2Paslaugaproduk9">'[1]Forma 10'!$AD$26</definedName>
    <definedName name="SIS063_F_Kitoskurorusie3Geriamojovande1">'[1]Forma 10'!$AA$27</definedName>
    <definedName name="SIS063_F_Kitoskurorusie3Paslaugaproduk8">'[1]Forma 10'!$AB$27</definedName>
    <definedName name="SIS063_F_Kitoskurorusie3Paslaugaproduk9">'[1]Forma 10'!$AD$27</definedName>
    <definedName name="SIS063_F_Kitoskurorusie4Geriamojovande1">'[1]Forma 10'!$AA$28</definedName>
    <definedName name="SIS063_F_Kitoskurorusie4Paslaugaproduk8">'[1]Forma 10'!$AB$28</definedName>
    <definedName name="SIS063_F_Kitoskurorusie4Paslaugaproduk9">'[1]Forma 10'!$AD$28</definedName>
    <definedName name="SIS063_F_Kitospaskirtie1Geriamojovande1">'[1]Forma 10'!$AA$58</definedName>
    <definedName name="SIS063_F_Kitospaskirtie1Paslaugaproduk8">'[1]Forma 10'!$AB$58</definedName>
    <definedName name="SIS063_F_Kitospaskirtie1Paslaugaproduk9">'[1]Forma 10'!$AD$58</definedName>
    <definedName name="SIS063_F_Kitospaskirtie2Geriamojovande1">'[1]Forma 10'!$AA$59</definedName>
    <definedName name="SIS063_F_Kitospaskirtie2Paslaugaproduk8">'[1]Forma 10'!$AB$59</definedName>
    <definedName name="SIS063_F_Kitospaskirtie2Paslaugaproduk9">'[1]Forma 10'!$AD$59</definedName>
    <definedName name="SIS063_F_Kitospaskirtie3Geriamojovande1">'[1]Forma 10'!$AA$60</definedName>
    <definedName name="SIS063_F_Kitospaskirtie3Paslaugaproduk8">'[1]Forma 10'!$AB$60</definedName>
    <definedName name="SIS063_F_Kitospaskirtie3Paslaugaproduk9">'[1]Forma 10'!$AD$60</definedName>
    <definedName name="SIS063_F_Kitospaskirtie4Geriamojovande1">'[1]Forma 10'!$AA$61</definedName>
    <definedName name="SIS063_F_Kitospaskirtie4Paslaugaproduk8">'[1]Forma 10'!$AB$61</definedName>
    <definedName name="SIS063_F_Kitospaskirtie4Paslaugaproduk9">'[1]Forma 10'!$AD$61</definedName>
    <definedName name="SIS063_F_Kitospaskirtie5Geriamojovande1">'[1]Forma 10'!$AA$63</definedName>
    <definedName name="SIS063_F_Kitospaskirtie5Paslaugaproduk8">'[1]Forma 10'!$AB$63</definedName>
    <definedName name="SIS063_F_Kitospaskirtie5Paslaugaproduk9">'[1]Forma 10'!$AD$63</definedName>
    <definedName name="SIS063_F_Kitospastovios2Geriamojovande1">'[1]Forma 10'!$AA$171</definedName>
    <definedName name="SIS063_F_Kitospastovios2Paslaugaproduk8">'[1]Forma 10'!$AB$171</definedName>
    <definedName name="SIS063_F_Kitospastovios2Paslaugaproduk9">'[1]Forma 10'!$AD$171</definedName>
    <definedName name="SIS063_F_Kitospastovios3Geriamojovande1">'[1]Forma 10'!$AA$172</definedName>
    <definedName name="SIS063_F_Kitospastovios3Paslaugaproduk8">'[1]Forma 10'!$AB$172</definedName>
    <definedName name="SIS063_F_Kitospastovios3Paslaugaproduk9">'[1]Forma 10'!$AD$172</definedName>
    <definedName name="SIS063_F_Kitosrinkodaro1Geriamojovande1">'[1]Forma 10'!$AA$152</definedName>
    <definedName name="SIS063_F_Kitosrinkodaro1Paslaugaproduk8">'[1]Forma 10'!$AB$152</definedName>
    <definedName name="SIS063_F_Kitosrinkodaro1Paslaugaproduk9">'[1]Forma 10'!$AD$152</definedName>
    <definedName name="SIS063_F_Kitosrinkodaro2Geriamojovande1">'[1]Forma 10'!$AA$153</definedName>
    <definedName name="SIS063_F_Kitosrinkodaro2Paslaugaproduk8">'[1]Forma 10'!$AB$153</definedName>
    <definedName name="SIS063_F_Kitosrinkodaro2Paslaugaproduk9">'[1]Forma 10'!$AD$153</definedName>
    <definedName name="SIS063_F_Kitossanaudoss1Geriamojovande1">'[1]Forma 10'!$AA$20</definedName>
    <definedName name="SIS063_F_Kitossanaudoss1Paslaugaproduk8">'[1]Forma 10'!$AB$20</definedName>
    <definedName name="SIS063_F_Kitossanaudoss1Paslaugaproduk9">'[1]Forma 10'!$AD$20</definedName>
    <definedName name="SIS063_F_Kitossanaudoss2Geriamojovande1">'[1]Forma 10'!$AA$29</definedName>
    <definedName name="SIS063_F_Kitossanaudoss2Paslaugaproduk8">'[1]Forma 10'!$AB$29</definedName>
    <definedName name="SIS063_F_Kitossanaudoss2Paslaugaproduk9">'[1]Forma 10'!$AD$29</definedName>
    <definedName name="SIS063_F_Kitossanaudoss3Geriamojovande1">'[1]Forma 10'!$AA$32</definedName>
    <definedName name="SIS063_F_Kitossanaudoss3Paslaugaproduk8">'[1]Forma 10'!$AB$32</definedName>
    <definedName name="SIS063_F_Kitossanaudoss3Paslaugaproduk9">'[1]Forma 10'!$AD$32</definedName>
    <definedName name="SIS063_F_Kitossanaudoss4Geriamojovande1">'[1]Forma 10'!$AA$36</definedName>
    <definedName name="SIS063_F_Kitossanaudoss4Paslaugaproduk8">'[1]Forma 10'!$AB$36</definedName>
    <definedName name="SIS063_F_Kitossanaudoss4Paslaugaproduk9">'[1]Forma 10'!$AD$36</definedName>
    <definedName name="SIS063_F_Kitossanaudoss5Geriamojovande1">'[1]Forma 10'!$AA$39</definedName>
    <definedName name="SIS063_F_Kitossanaudoss5Paslaugaproduk8">'[1]Forma 10'!$AB$39</definedName>
    <definedName name="SIS063_F_Kitossanaudoss5Paslaugaproduk9">'[1]Forma 10'!$AD$39</definedName>
    <definedName name="SIS063_F_Kitossanaudoss6Geriamojovande1">'[1]Forma 10'!$AA$40</definedName>
    <definedName name="SIS063_F_Kitossanaudoss6Paslaugaproduk8">'[1]Forma 10'!$AB$40</definedName>
    <definedName name="SIS063_F_Kitossanaudoss6Paslaugaproduk9">'[1]Forma 10'!$AD$40</definedName>
    <definedName name="SIS063_F_Kitossanaudoss7Geriamojovande1">'[1]Forma 10'!$AA$156</definedName>
    <definedName name="SIS063_F_Kitossanaudoss7Paslaugaproduk8">'[1]Forma 10'!$AB$156</definedName>
    <definedName name="SIS063_F_Kitossanaudoss7Paslaugaproduk9">'[1]Forma 10'!$AD$156</definedName>
    <definedName name="SIS063_F_Kitossupersona1Geriamojovande1">'[1]Forma 10'!$AA$112</definedName>
    <definedName name="SIS063_F_Kitossupersona1Paslaugaproduk8">'[1]Forma 10'!$AB$112</definedName>
    <definedName name="SIS063_F_Kitossupersona1Paslaugaproduk9">'[1]Forma 10'!$AD$112</definedName>
    <definedName name="SIS063_F_Kitossupersona2Geriamojovande1">'[1]Forma 10'!$AA$113</definedName>
    <definedName name="SIS063_F_Kitossupersona2Paslaugaproduk8">'[1]Forma 10'!$AB$113</definedName>
    <definedName name="SIS063_F_Kitossupersona2Paslaugaproduk9">'[1]Forma 10'!$AD$113</definedName>
    <definedName name="SIS063_F_Kitossupersona3Geriamojovande1">'[1]Forma 10'!$AA$114</definedName>
    <definedName name="SIS063_F_Kitossupersona3Paslaugaproduk8">'[1]Forma 10'!$AB$114</definedName>
    <definedName name="SIS063_F_Kitossupersona3Paslaugaproduk9">'[1]Forma 10'!$AD$114</definedName>
    <definedName name="SIS063_F_Kitossupersona4Geriamojovande1">'[1]Forma 10'!$AA$115</definedName>
    <definedName name="SIS063_F_Kitossupersona4Paslaugaproduk8">'[1]Forma 10'!$AB$115</definedName>
    <definedName name="SIS063_F_Kitossupersona4Paslaugaproduk9">'[1]Forma 10'!$AD$115</definedName>
    <definedName name="SIS063_F_Kitumasinuirir1Geriamojovande1">'[1]Forma 10'!$AA$69</definedName>
    <definedName name="SIS063_F_Kitumasinuirir1Paslaugaproduk8">'[1]Forma 10'!$AB$69</definedName>
    <definedName name="SIS063_F_Kitumasinuirir1Paslaugaproduk9">'[1]Forma 10'!$AD$69</definedName>
    <definedName name="SIS063_F_Kitumokesciuva1Geriamojovande1">'[1]Forma 10'!$AA$123</definedName>
    <definedName name="SIS063_F_Kitumokesciuva1Paslaugaproduk8">'[1]Forma 10'!$AB$123</definedName>
    <definedName name="SIS063_F_Kitumokesciuva1Paslaugaproduk9">'[1]Forma 10'!$AD$123</definedName>
    <definedName name="SIS063_F_Kituobjektunur1Geriamojovande1">'[1]Forma 10'!$AA$82</definedName>
    <definedName name="SIS063_F_Kituobjektunur1Paslaugaproduk8">'[1]Forma 10'!$AB$82</definedName>
    <definedName name="SIS063_F_Kituobjektunur1Paslaugaproduk9">'[1]Forma 10'!$AD$82</definedName>
    <definedName name="SIS063_F_Komunalinespas1Geriamojovande1">'[1]Forma 10'!$AA$138</definedName>
    <definedName name="SIS063_F_Komunalinespas1Paslaugaproduk8">'[1]Forma 10'!$AB$138</definedName>
    <definedName name="SIS063_F_Komunalinespas1Paslaugaproduk9">'[1]Forma 10'!$AD$138</definedName>
    <definedName name="SIS063_F_Komunaliniupas1Geriamojovande1">'[1]Forma 10'!$AA$94</definedName>
    <definedName name="SIS063_F_Komunaliniupas1Paslaugaproduk8">'[1]Forma 10'!$AB$94</definedName>
    <definedName name="SIS063_F_Komunaliniupas1Paslaugaproduk9">'[1]Forma 10'!$AD$94</definedName>
    <definedName name="SIS063_F_Konsultacinesp1Geriamojovande1">'[1]Forma 10'!$AA$132</definedName>
    <definedName name="SIS063_F_Konsultacinesp1Paslaugaproduk8">'[1]Forma 10'!$AB$132</definedName>
    <definedName name="SIS063_F_Konsultacinesp1Paslaugaproduk9">'[1]Forma 10'!$AD$132</definedName>
    <definedName name="SIS063_F_Labdaraparamas1Geriamojovande1">'[1]Forma 10'!$AA$167</definedName>
    <definedName name="SIS063_F_Labdaraparamas1Paslaugaproduk8">'[1]Forma 10'!$AB$167</definedName>
    <definedName name="SIS063_F_Labdaraparamas1Paslaugaproduk9">'[1]Forma 10'!$AD$167</definedName>
    <definedName name="SIS063_F_Laboratoriniai1Geriamojovande1">'[1]Forma 10'!$AA$45</definedName>
    <definedName name="SIS063_F_Laboratoriniai1Paslaugaproduk8">'[1]Forma 10'!$AB$45</definedName>
    <definedName name="SIS063_F_Laboratoriniai1Paslaugaproduk9">'[1]Forma 10'!$AD$45</definedName>
    <definedName name="SIS063_F_Likviduotonura1Geriamojovande1">'[1]Forma 10'!$AA$165</definedName>
    <definedName name="SIS063_F_Likviduotonura1Paslaugaproduk8">'[1]Forma 10'!$AB$165</definedName>
    <definedName name="SIS063_F_Likviduotonura1Paslaugaproduk9">'[1]Forma 10'!$AD$165</definedName>
    <definedName name="SIS063_F_Masinuirirengi1Geriamojovande1">'[1]Forma 10'!$AA$65</definedName>
    <definedName name="SIS063_F_Masinuirirengi1Paslaugaproduk8">'[1]Forma 10'!$AB$65</definedName>
    <definedName name="SIS063_F_Masinuirirengi1Paslaugaproduk9">'[1]Forma 10'!$AD$65</definedName>
    <definedName name="SIS063_F_Masinuirirengi2Geriamojovande1">'[1]Forma 10'!$AA$66</definedName>
    <definedName name="SIS063_F_Masinuirirengi2Paslaugaproduk8">'[1]Forma 10'!$AB$66</definedName>
    <definedName name="SIS063_F_Masinuirirengi2Paslaugaproduk9">'[1]Forma 10'!$AD$66</definedName>
    <definedName name="SIS063_F_Masinuirirengi3Geriamojovande1">'[1]Forma 10'!$AA$67</definedName>
    <definedName name="SIS063_F_Masinuirirengi3Paslaugaproduk8">'[1]Forma 10'!$AB$67</definedName>
    <definedName name="SIS063_F_Masinuirirengi3Paslaugaproduk9">'[1]Forma 10'!$AD$67</definedName>
    <definedName name="SIS063_F_Masinuirirengi4Geriamojovande1">'[1]Forma 10'!$AA$68</definedName>
    <definedName name="SIS063_F_Masinuirirengi4Paslaugaproduk8">'[1]Forma 10'!$AB$68</definedName>
    <definedName name="SIS063_F_Masinuirirengi4Paslaugaproduk9">'[1]Forma 10'!$AD$68</definedName>
    <definedName name="SIS063_F_Mazavercioinve1Geriamojovande1">'[1]Forma 10'!$AA$92</definedName>
    <definedName name="SIS063_F_Mazavercioinve1Paslaugaproduk8">'[1]Forma 10'!$AB$92</definedName>
    <definedName name="SIS063_F_Mazavercioinve1Paslaugaproduk9">'[1]Forma 10'!$AD$92</definedName>
    <definedName name="SIS063_F_Mazutoisigijim1Geriamojovande1">'[1]Forma 10'!$AA$23</definedName>
    <definedName name="SIS063_F_Mazutoisigijim1Paslaugaproduk8">'[1]Forma 10'!$AB$23</definedName>
    <definedName name="SIS063_F_Mazutoisigijim1Paslaugaproduk9">'[1]Forma 10'!$AD$23</definedName>
    <definedName name="SIS063_F_Medienosisigij1Geriamojovande1">'[1]Forma 10'!$AA$24</definedName>
    <definedName name="SIS063_F_Medienosisigij1Paslaugaproduk8">'[1]Forma 10'!$AB$24</definedName>
    <definedName name="SIS063_F_Medienosisigij1Paslaugaproduk9">'[1]Forma 10'!$AD$24</definedName>
    <definedName name="SIS063_F_Medziaguzaliav1Geriamojovande1">'[1]Forma 10'!$AA$83</definedName>
    <definedName name="SIS063_F_Medziaguzaliav1Paslaugaproduk8">'[1]Forma 10'!$AB$83</definedName>
    <definedName name="SIS063_F_Medziaguzaliav1Paslaugaproduk9">'[1]Forma 10'!$AD$83</definedName>
    <definedName name="SIS063_F_Medziaguzaliav2Geriamojovande1">'[1]Forma 10'!$AA$84</definedName>
    <definedName name="SIS063_F_Medziaguzaliav2Paslaugaproduk8">'[1]Forma 10'!$AB$84</definedName>
    <definedName name="SIS063_F_Medziaguzaliav2Paslaugaproduk9">'[1]Forma 10'!$AD$84</definedName>
    <definedName name="SIS063_F_Medziaguzaliav3Geriamojovande1">'[1]Forma 10'!$AA$85</definedName>
    <definedName name="SIS063_F_Medziaguzaliav3Paslaugaproduk8">'[1]Forma 10'!$AB$85</definedName>
    <definedName name="SIS063_F_Medziaguzaliav3Paslaugaproduk9">'[1]Forma 10'!$AD$85</definedName>
    <definedName name="SIS063_F_Medziaguzaliav4Geriamojovande1">'[1]Forma 10'!$AA$86</definedName>
    <definedName name="SIS063_F_Medziaguzaliav4Paslaugaproduk8">'[1]Forma 10'!$AB$86</definedName>
    <definedName name="SIS063_F_Medziaguzaliav4Paslaugaproduk9">'[1]Forma 10'!$AD$86</definedName>
    <definedName name="SIS063_F_Medziaguzaliav5Geriamojovande1">'[1]Forma 10'!$AA$87</definedName>
    <definedName name="SIS063_F_Medziaguzaliav5Paslaugaproduk8">'[1]Forma 10'!$AB$87</definedName>
    <definedName name="SIS063_F_Medziaguzaliav5Paslaugaproduk9">'[1]Forma 10'!$AD$87</definedName>
    <definedName name="SIS063_F_Metrologinespa1Geriamojovande1">'[1]Forma 10'!$AA$98</definedName>
    <definedName name="SIS063_F_Metrologinespa1Paslaugaproduk8">'[1]Forma 10'!$AB$98</definedName>
    <definedName name="SIS063_F_Metrologinespa1Paslaugaproduk9">'[1]Forma 10'!$AD$98</definedName>
    <definedName name="SIS063_F_Mokymukvalifik1Geriamojovande1">'[1]Forma 10'!$AA$108</definedName>
    <definedName name="SIS063_F_Mokymukvalifik1Paslaugaproduk8">'[1]Forma 10'!$AB$108</definedName>
    <definedName name="SIS063_F_Mokymukvalifik1Paslaugaproduk9">'[1]Forma 10'!$AD$108</definedName>
    <definedName name="SIS063_F_Muitinesireksp1Geriamojovande1">'[1]Forma 10'!$AA$97</definedName>
    <definedName name="SIS063_F_Muitinesireksp1Paslaugaproduk8">'[1]Forma 10'!$AB$97</definedName>
    <definedName name="SIS063_F_Muitinesireksp1Paslaugaproduk9">'[1]Forma 10'!$AD$97</definedName>
    <definedName name="SIS063_F_Narystesstojam1Geriamojovande1">'[1]Forma 10'!$AA$164</definedName>
    <definedName name="SIS063_F_Narystesstojam1Paslaugaproduk8">'[1]Forma 10'!$AB$164</definedName>
    <definedName name="SIS063_F_Narystesstojam1Paslaugaproduk9">'[1]Forma 10'!$AD$164</definedName>
    <definedName name="SIS063_F_Neigiamosmoket1Geriamojovande1">'[1]Forma 10'!$AA$127</definedName>
    <definedName name="SIS063_F_Neigiamosmoket1Paslaugaproduk8">'[1]Forma 10'!$AB$127</definedName>
    <definedName name="SIS063_F_Neigiamosmoket1Paslaugaproduk9">'[1]Forma 10'!$AD$127</definedName>
    <definedName name="SIS063_F_Nekilnojamotur1Geriamojovande1">'[1]Forma 10'!$AA$118</definedName>
    <definedName name="SIS063_F_Nekilnojamotur1Paslaugaproduk8">'[1]Forma 10'!$AB$118</definedName>
    <definedName name="SIS063_F_Nekilnojamotur1Paslaugaproduk9">'[1]Forma 10'!$AD$118</definedName>
    <definedName name="SIS063_F_Nuotekutvarkym1Geriamojovande1">'[1]Forma 10'!$AA$35</definedName>
    <definedName name="SIS063_F_Nuotekutvarkym1Paslaugaproduk8">'[1]Forma 10'!$AB$35</definedName>
    <definedName name="SIS063_F_Nuotekutvarkym1Paslaugaproduk9">'[1]Forma 10'!$AD$35</definedName>
    <definedName name="SIS063_F_Nuotolinesduom1Geriamojovande1">'[1]Forma 10'!$AA$89</definedName>
    <definedName name="SIS063_F_Nuotolinesduom1Paslaugaproduk8">'[1]Forma 10'!$AB$89</definedName>
    <definedName name="SIS063_F_Nuotolinesduom1Paslaugaproduk9">'[1]Forma 10'!$AD$89</definedName>
    <definedName name="SIS063_F_Nurasytuatsisk1Geriamojovande1">'[1]Forma 10'!$AA$166</definedName>
    <definedName name="SIS063_F_Nurasytuatsisk1Paslaugaproduk8">'[1]Forma 10'!$AB$166</definedName>
    <definedName name="SIS063_F_Nurasytuatsisk1Paslaugaproduk9">'[1]Forma 10'!$AD$166</definedName>
    <definedName name="SIS063_F_Orginventoriau1Geriamojovande1">'[1]Forma 10'!$AA$136</definedName>
    <definedName name="SIS063_F_Orginventoriau1Paslaugaproduk8">'[1]Forma 10'!$AB$136</definedName>
    <definedName name="SIS063_F_Orginventoriau1Paslaugaproduk9">'[1]Forma 10'!$AD$136</definedName>
    <definedName name="SIS063_F_Palukanusanaud1Geriamojovande1">'[1]Forma 10'!$AA$126</definedName>
    <definedName name="SIS063_F_Palukanusanaud1Paslaugaproduk8">'[1]Forma 10'!$AB$126</definedName>
    <definedName name="SIS063_F_Palukanusanaud1Paslaugaproduk9">'[1]Forma 10'!$AD$126</definedName>
    <definedName name="SIS063_F_Papildomodarbu1Geriamojovande1">'[1]Forma 10'!$AA$107</definedName>
    <definedName name="SIS063_F_Papildomodarbu1Paslaugaproduk8">'[1]Forma 10'!$AB$107</definedName>
    <definedName name="SIS063_F_Papildomodarbu1Paslaugaproduk9">'[1]Forma 10'!$AD$107</definedName>
    <definedName name="SIS063_F_Pastopasiuntin1Geriamojovande1">'[1]Forma 10'!$AA$134</definedName>
    <definedName name="SIS063_F_Pastopasiuntin1Paslaugaproduk8">'[1]Forma 10'!$AB$134</definedName>
    <definedName name="SIS063_F_Pastopasiuntin1Paslaugaproduk9">'[1]Forma 10'!$AD$134</definedName>
    <definedName name="SIS063_F_Patalpuneadmin1Geriamojovande1">'[1]Forma 10'!$AA$90</definedName>
    <definedName name="SIS063_F_Patalpuneadmin1Paslaugaproduk8">'[1]Forma 10'!$AB$90</definedName>
    <definedName name="SIS063_F_Patalpuneadmin1Paslaugaproduk9">'[1]Forma 10'!$AD$90</definedName>
    <definedName name="SIS063_F_Patalpuprieziu1Geriamojovande1">'[1]Forma 10'!$AA$139</definedName>
    <definedName name="SIS063_F_Patalpuprieziu1Paslaugaproduk8">'[1]Forma 10'!$AB$139</definedName>
    <definedName name="SIS063_F_Patalpuprieziu1Paslaugaproduk9">'[1]Forma 10'!$AD$139</definedName>
    <definedName name="SIS063_F_Patentulicenci1Geriamojovande1">'[1]Forma 10'!$AA$52</definedName>
    <definedName name="SIS063_F_Patentulicenci1Paslaugaproduk8">'[1]Forma 10'!$AB$52</definedName>
    <definedName name="SIS063_F_Patentulicenci1Paslaugaproduk9">'[1]Forma 10'!$AD$52</definedName>
    <definedName name="SIS063_F_Pelenutvarkymo1Geriamojovande1">'[1]Forma 10'!$AA$42</definedName>
    <definedName name="SIS063_F_Pelenutvarkymo1Paslaugaproduk8">'[1]Forma 10'!$AB$42</definedName>
    <definedName name="SIS063_F_Pelenutvarkymo1Paslaugaproduk9">'[1]Forma 10'!$AD$42</definedName>
    <definedName name="SIS063_F_Pletrosdarbunu1Geriamojovande1">'[1]Forma 10'!$AA$50</definedName>
    <definedName name="SIS063_F_Pletrosdarbunu1Paslaugaproduk8">'[1]Forma 10'!$AB$50</definedName>
    <definedName name="SIS063_F_Pletrosdarbunu1Paslaugaproduk9">'[1]Forma 10'!$AD$50</definedName>
    <definedName name="SIS063_F_Prekeszenkloiv1Geriamojovande1">'[1]Forma 10'!$AA$146</definedName>
    <definedName name="SIS063_F_Prekeszenkloiv1Paslaugaproduk8">'[1]Forma 10'!$AB$146</definedName>
    <definedName name="SIS063_F_Prekeszenkloiv1Paslaugaproduk9">'[1]Forma 10'!$AD$146</definedName>
    <definedName name="SIS063_F_Prestizonuside1Geriamojovande1">'[1]Forma 10'!$AA$51</definedName>
    <definedName name="SIS063_F_Prestizonuside1Paslaugaproduk8">'[1]Forma 10'!$AB$51</definedName>
    <definedName name="SIS063_F_Prestizonuside1Paslaugaproduk9">'[1]Forma 10'!$AD$51</definedName>
    <definedName name="SIS063_F_Priskaitytosba1Geriamojovande1">'[1]Forma 10'!$AA$169</definedName>
    <definedName name="SIS063_F_Priskaitytosba1Paslaugaproduk8">'[1]Forma 10'!$AB$169</definedName>
    <definedName name="SIS063_F_Priskaitytosba1Paslaugaproduk9">'[1]Forma 10'!$AD$169</definedName>
    <definedName name="SIS063_F_Privalomovarto1Geriamojovande1">'[1]Forma 10'!$AA$145</definedName>
    <definedName name="SIS063_F_Privalomovarto1Paslaugaproduk8">'[1]Forma 10'!$AB$145</definedName>
    <definedName name="SIS063_F_Privalomovarto1Paslaugaproduk9">'[1]Forma 10'!$AD$145</definedName>
    <definedName name="SIS063_F_Profesineliter1Geriamojovande1">'[1]Forma 10'!$AA$137</definedName>
    <definedName name="SIS063_F_Profesineliter1Paslaugaproduk8">'[1]Forma 10'!$AB$137</definedName>
    <definedName name="SIS063_F_Profesineliter1Paslaugaproduk9">'[1]Forma 10'!$AD$137</definedName>
    <definedName name="SIS063_F_Programinesira1Geriamojovande1">'[1]Forma 10'!$AA$53</definedName>
    <definedName name="SIS063_F_Programinesira1Paslaugaproduk8">'[1]Forma 10'!$AB$53</definedName>
    <definedName name="SIS063_F_Programinesira1Paslaugaproduk9">'[1]Forma 10'!$AD$53</definedName>
    <definedName name="SIS063_F_Reklamospaslau1Geriamojovande1">'[1]Forma 10'!$AA$144</definedName>
    <definedName name="SIS063_F_Reklamospaslau1Paslaugaproduk8">'[1]Forma 10'!$AB$144</definedName>
    <definedName name="SIS063_F_Reklamospaslau1Paslaugaproduk9">'[1]Forma 10'!$AD$144</definedName>
    <definedName name="SIS063_F_Reprezentacijo1Geriamojovande1">'[1]Forma 10'!$AA$150</definedName>
    <definedName name="SIS063_F_Reprezentacijo1Paslaugaproduk8">'[1]Forma 10'!$AB$150</definedName>
    <definedName name="SIS063_F_Reprezentacijo1Paslaugaproduk9">'[1]Forma 10'!$AD$150</definedName>
    <definedName name="SIS063_F_Rezerviniokuro1Geriamojovande1">'[1]Forma 10'!$AA$91</definedName>
    <definedName name="SIS063_F_Rezerviniokuro1Paslaugaproduk8">'[1]Forma 10'!$AB$91</definedName>
    <definedName name="SIS063_F_Rezerviniokuro1Paslaugaproduk9">'[1]Forma 10'!$AD$91</definedName>
    <definedName name="SIS063_F_Rinkostyrimusa1Geriamojovande1">'[1]Forma 10'!$AA$147</definedName>
    <definedName name="SIS063_F_Rinkostyrimusa1Paslaugaproduk8">'[1]Forma 10'!$AB$147</definedName>
    <definedName name="SIS063_F_Rinkostyrimusa1Paslaugaproduk9">'[1]Forma 10'!$AD$147</definedName>
    <definedName name="SIS063_F_Rysiupaslaugos1Geriamojovande1">'[1]Forma 10'!$AA$133</definedName>
    <definedName name="SIS063_F_Rysiupaslaugos1Paslaugaproduk8">'[1]Forma 10'!$AB$133</definedName>
    <definedName name="SIS063_F_Rysiupaslaugos1Paslaugaproduk9">'[1]Forma 10'!$AD$133</definedName>
    <definedName name="SIS063_F_Saskaituvartot1Geriamojovande1">'[1]Forma 10'!$AA$148</definedName>
    <definedName name="SIS063_F_Saskaituvartot1Paslaugaproduk8">'[1]Forma 10'!$AB$148</definedName>
    <definedName name="SIS063_F_Saskaituvartot1Paslaugaproduk9">'[1]Forma 10'!$AD$148</definedName>
    <definedName name="SIS063_F_Silumosisigiji2Geriamojovande1">'[1]Forma 10'!$AA$19</definedName>
    <definedName name="SIS063_F_Silumosisigiji2Paslaugaproduk8">'[1]Forma 10'!$AB$19</definedName>
    <definedName name="SIS063_F_Silumosisigiji2Paslaugaproduk9">'[1]Forma 10'!$AD$19</definedName>
    <definedName name="SIS063_F_Silumospunktue1Geriamojovande1">'[1]Forma 10'!$AA$80</definedName>
    <definedName name="SIS063_F_Silumospunktue1Paslaugaproduk8">'[1]Forma 10'!$AB$80</definedName>
    <definedName name="SIS063_F_Silumospunktue1Paslaugaproduk9">'[1]Forma 10'!$AD$80</definedName>
    <definedName name="SIS063_F_Silumosukiotur2Geriamojovande1">'[1]Forma 10'!$AA$155</definedName>
    <definedName name="SIS063_F_Silumosukiotur2Paslaugaproduk8">'[1]Forma 10'!$AB$155</definedName>
    <definedName name="SIS063_F_Silumosukiotur2Paslaugaproduk9">'[1]Forma 10'!$AD$155</definedName>
    <definedName name="SIS063_F_Skoluisieskoji1Geriamojovande1">'[1]Forma 10'!$AA$163</definedName>
    <definedName name="SIS063_F_Skoluisieskoji1Paslaugaproduk8">'[1]Forma 10'!$AB$163</definedName>
    <definedName name="SIS063_F_Skoluisieskoji1Paslaugaproduk9">'[1]Forma 10'!$AD$163</definedName>
    <definedName name="SIS063_F_Svietimoirkons1Geriamojovande1">'[1]Forma 10'!$AA$151</definedName>
    <definedName name="SIS063_F_Svietimoirkons1Paslaugaproduk8">'[1]Forma 10'!$AB$151</definedName>
    <definedName name="SIS063_F_Svietimoirkons1Paslaugaproduk9">'[1]Forma 10'!$AD$151</definedName>
    <definedName name="SIS063_F_Tantjemos1Geriamojovande1">'[1]Forma 10'!$AA$170</definedName>
    <definedName name="SIS063_F_Tantjemos1Paslaugaproduk8">'[1]Forma 10'!$AB$170</definedName>
    <definedName name="SIS063_F_Tantjemos1Paslaugaproduk9">'[1]Forma 10'!$AD$170</definedName>
    <definedName name="SIS063_F_Teisinespaslau1Geriamojovande1">'[1]Forma 10'!$AA$131</definedName>
    <definedName name="SIS063_F_Teisinespaslau1Paslaugaproduk8">'[1]Forma 10'!$AB$131</definedName>
    <definedName name="SIS063_F_Teisinespaslau1Paslaugaproduk9">'[1]Forma 10'!$AD$131</definedName>
    <definedName name="SIS063_F_Tinklueinamojo1Geriamojovande1">'[1]Forma 10'!$AA$79</definedName>
    <definedName name="SIS063_F_Tinklueinamojo1Paslaugaproduk8">'[1]Forma 10'!$AB$79</definedName>
    <definedName name="SIS063_F_Tinklueinamojo1Paslaugaproduk9">'[1]Forma 10'!$AD$79</definedName>
    <definedName name="SIS063_F_Transportoprie1Geriamojovande1">'[1]Forma 10'!$AA$73</definedName>
    <definedName name="SIS063_F_Transportoprie1Paslaugaproduk8">'[1]Forma 10'!$AB$73</definedName>
    <definedName name="SIS063_F_Transportoprie1Paslaugaproduk9">'[1]Forma 10'!$AD$73</definedName>
    <definedName name="SIS063_F_Transportoprie2Geriamojovande1">'[1]Forma 10'!$AA$95</definedName>
    <definedName name="SIS063_F_Transportoprie2Paslaugaproduk8">'[1]Forma 10'!$AB$95</definedName>
    <definedName name="SIS063_F_Transportoprie2Paslaugaproduk9">'[1]Forma 10'!$AD$95</definedName>
    <definedName name="SIS063_F_Transportoprie3Geriamojovande1">'[1]Forma 10'!$AA$96</definedName>
    <definedName name="SIS063_F_Transportoprie3Paslaugaproduk8">'[1]Forma 10'!$AB$96</definedName>
    <definedName name="SIS063_F_Transportoprie3Paslaugaproduk9">'[1]Forma 10'!$AD$96</definedName>
    <definedName name="SIS063_F_Turtodraudimos1Geriamojovande1">'[1]Forma 10'!$AA$158</definedName>
    <definedName name="SIS063_F_Turtodraudimos1Paslaugaproduk8">'[1]Forma 10'!$AB$158</definedName>
    <definedName name="SIS063_F_Turtodraudimos1Paslaugaproduk9">'[1]Forma 10'!$AD$158</definedName>
    <definedName name="SIS063_F_Turtonuomosnes1Geriamojovande1">'[1]Forma 10'!$AA$93</definedName>
    <definedName name="SIS063_F_Turtonuomosnes1Paslaugaproduk8">'[1]Forma 10'!$AB$93</definedName>
    <definedName name="SIS063_F_Turtonuomosnes1Paslaugaproduk9">'[1]Forma 10'!$AD$93</definedName>
    <definedName name="SIS063_F_Valstybiniuist1Geriamojovande1">'[1]Forma 10'!$AA$120</definedName>
    <definedName name="SIS063_F_Valstybiniuist1Paslaugaproduk8">'[1]Forma 10'!$AB$120</definedName>
    <definedName name="SIS063_F_Valstybiniuist1Paslaugaproduk9">'[1]Forma 10'!$AD$120</definedName>
    <definedName name="SIS063_F_Vandenstechnol2Geriamojovande1">'[1]Forma 10'!$AA$34</definedName>
    <definedName name="SIS063_F_Vandenstechnol2Paslaugaproduk8">'[1]Forma 10'!$AB$34</definedName>
    <definedName name="SIS063_F_Vandenstechnol2Paslaugaproduk9">'[1]Forma 10'!$AD$34</definedName>
    <definedName name="SIS063_F_Vartotojumokej1Geriamojovande1">'[1]Forma 10'!$AA$149</definedName>
    <definedName name="SIS063_F_Vartotojumokej1Paslaugaproduk8">'[1]Forma 10'!$AB$149</definedName>
    <definedName name="SIS063_F_Vartotojumokej1Paslaugaproduk9">'[1]Forma 10'!$AD$149</definedName>
    <definedName name="SIS063_F_Veiklosrizikos1Geriamojovande1">'[1]Forma 10'!$AA$159</definedName>
    <definedName name="SIS063_F_Veiklosrizikos1Paslaugaproduk8">'[1]Forma 10'!$AB$159</definedName>
    <definedName name="SIS063_F_Veiklosrizikos1Paslaugaproduk9">'[1]Forma 10'!$AD$159</definedName>
    <definedName name="SIS063_F_Zemesmokescios1Geriamojovande1">'[1]Forma 10'!$AA$117</definedName>
    <definedName name="SIS063_F_Zemesmokescios1Paslaugaproduk8">'[1]Forma 10'!$AB$117</definedName>
    <definedName name="SIS063_F_Zemesmokescios1Paslaugaproduk9">'[1]Forma 10'!$AD$117</definedName>
    <definedName name="SIS063_F_Zyminiomokesci1Geriamojovande1">'[1]Forma 10'!$AA$121</definedName>
    <definedName name="SIS063_F_Zyminiomokesci1Paslaugaproduk8">'[1]Forma 10'!$AB$121</definedName>
    <definedName name="SIS063_F_Zyminiomokesci1Paslaugaproduk9">'[1]Forma 10'!$AD$121</definedName>
    <definedName name="SIS064_F_Administracine1Elektrosenergi5">'[1]Forma 11'!$AC$67</definedName>
    <definedName name="SIS064_F_Administracine1Elektrosenergi6">'[1]Forma 11'!$AF$67</definedName>
    <definedName name="SIS064_F_Apyvartiniutar2Elektrosenergi5">'[1]Forma 11'!$AC$43</definedName>
    <definedName name="SIS064_F_Apyvartiniutar2Elektrosenergi6">'[1]Forma 11'!$AF$43</definedName>
    <definedName name="SIS064_F_Aplinkostarsos1Elektrosenergi5">'[1]Forma 11'!$AC$124</definedName>
    <definedName name="SIS064_F_Aplinkostarsos1Elektrosenergi6">'[1]Forma 11'!$AF$124</definedName>
    <definedName name="SIS064_F_Apsauginiaiird1Elektrosenergi5">'[1]Forma 11'!$AC$115</definedName>
    <definedName name="SIS064_F_Apsauginiaiird1Elektrosenergi6">'[1]Forma 11'!$AF$115</definedName>
    <definedName name="SIS064_F_Atsiskaitomuju1Elektrosenergi5">'[1]Forma 11'!$AC$93</definedName>
    <definedName name="SIS064_F_Atsiskaitomuju1Elektrosenergi6">'[1]Forma 11'!$AF$93</definedName>
    <definedName name="SIS064_F_Auditofinansin1Elektrosenergi5">'[1]Forma 11'!$AC$165</definedName>
    <definedName name="SIS064_F_Auditofinansin1Elektrosenergi6">'[1]Forma 11'!$AF$165</definedName>
    <definedName name="SIS064_F_Auditokitosana1Elektrosenergi5">'[1]Forma 11'!$AC$167</definedName>
    <definedName name="SIS064_F_Auditokitosana1Elektrosenergi6">'[1]Forma 11'!$AF$167</definedName>
    <definedName name="SIS064_F_Auditoreguliuo1Elektrosenergi5">'[1]Forma 11'!$AC$166</definedName>
    <definedName name="SIS064_F_Auditoreguliuo1Elektrosenergi6">'[1]Forma 11'!$AF$166</definedName>
    <definedName name="SIS064_F_Bankopaslauguk1Elektrosenergi5">'[1]Forma 11'!$AC$130</definedName>
    <definedName name="SIS064_F_Bankopaslauguk1Elektrosenergi6">'[1]Forma 11'!$AF$130</definedName>
    <definedName name="SIS064_F_Beviltiskossko1Elektrosenergi5">'[1]Forma 11'!$AC$173</definedName>
    <definedName name="SIS064_F_Beviltiskossko1Elektrosenergi6">'[1]Forma 11'!$AF$173</definedName>
    <definedName name="SIS064_F_Cheminesmedzia1Elektrosenergi5">'[1]Forma 11'!$AC$51</definedName>
    <definedName name="SIS064_F_Cheminesmedzia1Elektrosenergi6">'[1]Forma 11'!$AF$51</definedName>
    <definedName name="SIS064_F_Darbdavioimoku1Elektrosenergi5">'[1]Forma 11'!$AC$111</definedName>
    <definedName name="SIS064_F_Darbdavioimoku1Elektrosenergi6">'[1]Forma 11'!$AF$111</definedName>
    <definedName name="SIS064_F_Darbouzmokesci1Elektrosenergi5">'[1]Forma 11'!$AC$110</definedName>
    <definedName name="SIS064_F_Darbouzmokesci1Elektrosenergi6">'[1]Forma 11'!$AF$110</definedName>
    <definedName name="SIS064_F_Elektrosenergi9Elektrosenergi5">'[1]Forma 11'!$AC$36</definedName>
    <definedName name="SIS064_F_Elektrosenergi9Elektrosenergi6">'[1]Forma 11'!$AF$36</definedName>
    <definedName name="SIS064_F_Energetikosist1Elektrosenergi5">'[1]Forma 11'!$AC$127</definedName>
    <definedName name="SIS064_F_Energetikosist1Elektrosenergi6">'[1]Forma 11'!$AF$127</definedName>
    <definedName name="SIS064_F_Energijosistek1Elektrosenergi5">'[1]Forma 11'!$AC$48</definedName>
    <definedName name="SIS064_F_Energijosistek1Elektrosenergi6">'[1]Forma 11'!$AF$48</definedName>
    <definedName name="SIS064_F_Gamybinespaski1Elektrosenergi5">'[1]Forma 11'!$AC$60</definedName>
    <definedName name="SIS064_F_Gamybinespaski1Elektrosenergi6">'[1]Forma 11'!$AF$60</definedName>
    <definedName name="SIS064_F_Gamybinespaski2Elektrosenergi5">'[1]Forma 11'!$AC$61</definedName>
    <definedName name="SIS064_F_Gamybinespaski2Elektrosenergi6">'[1]Forma 11'!$AF$61</definedName>
    <definedName name="SIS064_F_Gamybinespaski3Elektrosenergi5">'[1]Forma 11'!$AC$62</definedName>
    <definedName name="SIS064_F_Gamybinespaski3Elektrosenergi6">'[1]Forma 11'!$AF$62</definedName>
    <definedName name="SIS064_F_Gamybosobjektu1Elektrosenergi5">'[1]Forma 11'!$AC$83</definedName>
    <definedName name="SIS064_F_Gamybosobjektu1Elektrosenergi6">'[1]Forma 11'!$AF$83</definedName>
    <definedName name="SIS064_F_Gamtiniudujubi1Elektrosenergi5">'[1]Forma 11'!$AC$49</definedName>
    <definedName name="SIS064_F_Gamtiniudujubi1Elektrosenergi6">'[1]Forma 11'!$AF$49</definedName>
    <definedName name="SIS064_F_Gamtiniudujuis1Elektrosenergi5">'[1]Forma 11'!$AC$27</definedName>
    <definedName name="SIS064_F_Gamtiniudujuis1Elektrosenergi6">'[1]Forma 11'!$AF$27</definedName>
    <definedName name="SIS064_F_Investiciniotu1Elektrosenergi5">'[1]Forma 11'!$AC$80</definedName>
    <definedName name="SIS064_F_Investiciniotu1Elektrosenergi6">'[1]Forma 11'!$AF$80</definedName>
    <definedName name="SIS064_F_Iseitinespasal1Elektrosenergi5">'[1]Forma 11'!$AC$114</definedName>
    <definedName name="SIS064_F_Iseitinespasal1Elektrosenergi6">'[1]Forma 11'!$AF$114</definedName>
    <definedName name="SIS064_F_Isviso3Elektrossavoms1">'[1]Forma 11'!$FD$178</definedName>
    <definedName name="SIS064_F_Isviso3Geriamojovande1">'[1]Forma 11'!$AD$178</definedName>
    <definedName name="SIS064_F_Isviso3Paslaugaproduk8">'[1]Forma 11'!$AE$178</definedName>
    <definedName name="SIS064_F_Isviso3Paslaugaproduk9">'[1]Forma 11'!$AG$178</definedName>
    <definedName name="SIS064_F_Itaptarnavimos1Elektrosenergi5">'[1]Forma 11'!$AC$86</definedName>
    <definedName name="SIS064_F_Itaptarnavimos1Elektrosenergi6">'[1]Forma 11'!$AF$86</definedName>
    <definedName name="SIS064_F_Kanceliariness1Elektrosenergi5">'[1]Forma 11'!$AC$140</definedName>
    <definedName name="SIS064_F_Kanceliariness1Elektrosenergi6">'[1]Forma 11'!$AF$140</definedName>
    <definedName name="SIS064_F_Kelionessanaud1Elektrosenergi5">'[1]Forma 11'!$AC$116</definedName>
    <definedName name="SIS064_F_Kelionessanaud1Elektrosenergi6">'[1]Forma 11'!$AF$116</definedName>
    <definedName name="SIS064_F_Kitoilgalaikio1Elektrosenergi5">'[1]Forma 11'!$AC$81</definedName>
    <definedName name="SIS064_F_Kitoilgalaikio1Elektrosenergi6">'[1]Forma 11'!$AF$81</definedName>
    <definedName name="SIS064_F_Kitomaterialau1Elektrosenergi5">'[1]Forma 11'!$AC$79</definedName>
    <definedName name="SIS064_F_Kitomaterialau1Elektrosenergi6">'[1]Forma 11'!$AF$79</definedName>
    <definedName name="SIS064_F_Kitonematerial1Elektrosenergi5">'[1]Forma 11'!$AC$59</definedName>
    <definedName name="SIS064_F_Kitonematerial1Elektrosenergi6">'[1]Forma 11'!$AF$59</definedName>
    <definedName name="SIS064_F_Kitosadministr1Elektrosenergi5">'[1]Forma 11'!$AC$145</definedName>
    <definedName name="SIS064_F_Kitosadministr1Elektrosenergi6">'[1]Forma 11'!$AF$145</definedName>
    <definedName name="SIS064_F_Kitosadministr2Elektrosenergi5">'[1]Forma 11'!$AC$146</definedName>
    <definedName name="SIS064_F_Kitosadministr2Elektrosenergi6">'[1]Forma 11'!$AF$146</definedName>
    <definedName name="SIS064_F_Kitosadministr3Elektrosenergi5">'[1]Forma 11'!$AC$147</definedName>
    <definedName name="SIS064_F_Kitosadministr3Elektrosenergi6">'[1]Forma 11'!$AF$147</definedName>
    <definedName name="SIS064_F_Kitoseinamojor1Elektrosenergi5">'[1]Forma 11'!$AC$104</definedName>
    <definedName name="SIS064_F_Kitoseinamojor1Elektrosenergi6">'[1]Forma 11'!$AF$104</definedName>
    <definedName name="SIS064_F_Kitoseinamojor2Elektrosenergi5">'[1]Forma 11'!$AC$105</definedName>
    <definedName name="SIS064_F_Kitoseinamojor2Elektrosenergi6">'[1]Forma 11'!$AF$105</definedName>
    <definedName name="SIS064_F_Kitoseinamojor3Elektrosenergi5">'[1]Forma 11'!$AC$106</definedName>
    <definedName name="SIS064_F_Kitoseinamojor3Elektrosenergi6">'[1]Forma 11'!$AF$106</definedName>
    <definedName name="SIS064_F_Kitoseinamojor4Elektrosenergi5">'[1]Forma 11'!$AC$107</definedName>
    <definedName name="SIS064_F_Kitoseinamojor4Elektrosenergi6">'[1]Forma 11'!$AF$107</definedName>
    <definedName name="SIS064_F_Kitoseinamojor5Elektrosenergi5">'[1]Forma 11'!$AC$108</definedName>
    <definedName name="SIS064_F_Kitoseinamojor5Elektrosenergi6">'[1]Forma 11'!$AF$108</definedName>
    <definedName name="SIS064_F_Kitosfinansine1Elektrosenergi5">'[1]Forma 11'!$AC$133</definedName>
    <definedName name="SIS064_F_Kitosfinansine1Elektrosenergi6">'[1]Forma 11'!$AF$133</definedName>
    <definedName name="SIS064_F_Kitosfinansine2Elektrosenergi5">'[1]Forma 11'!$AC$134</definedName>
    <definedName name="SIS064_F_Kitosfinansine2Elektrosenergi6">'[1]Forma 11'!$AF$134</definedName>
    <definedName name="SIS064_F_Kitosirangospr1Elektrosenergi5">'[1]Forma 11'!$AC$69</definedName>
    <definedName name="SIS064_F_Kitosirangospr1Elektrosenergi6">'[1]Forma 11'!$AF$69</definedName>
    <definedName name="SIS064_F_Kitosirangospr2Elektrosenergi5">'[1]Forma 11'!$AC$75</definedName>
    <definedName name="SIS064_F_Kitosirangospr2Elektrosenergi6">'[1]Forma 11'!$AF$75</definedName>
    <definedName name="SIS064_F_Kitosirangospr3Elektrosenergi5">'[1]Forma 11'!$AC$76</definedName>
    <definedName name="SIS064_F_Kitosirangospr3Elektrosenergi6">'[1]Forma 11'!$AF$76</definedName>
    <definedName name="SIS064_F_Kitosirangospr4Elektrosenergi5">'[1]Forma 11'!$AC$77</definedName>
    <definedName name="SIS064_F_Kitosirangospr4Elektrosenergi6">'[1]Forma 11'!$AF$77</definedName>
    <definedName name="SIS064_F_Kitoskintamosi2Elektrosenergi5">'[1]Forma 11'!$AC$52</definedName>
    <definedName name="SIS064_F_Kitoskintamosi2Elektrosenergi6">'[1]Forma 11'!$AF$52</definedName>
    <definedName name="SIS064_F_Kitoskintamosi3Elektrosenergi5">'[1]Forma 11'!$AC$53</definedName>
    <definedName name="SIS064_F_Kitoskintamosi3Elektrosenergi6">'[1]Forma 11'!$AF$53</definedName>
    <definedName name="SIS064_F_Kitoskurorusie1Elektrosenergi5">'[1]Forma 11'!$AC$30</definedName>
    <definedName name="SIS064_F_Kitoskurorusie1Elektrosenergi6">'[1]Forma 11'!$AF$30</definedName>
    <definedName name="SIS064_F_Kitoskurorusie2Elektrosenergi5">'[1]Forma 11'!$AC$31</definedName>
    <definedName name="SIS064_F_Kitoskurorusie2Elektrosenergi6">'[1]Forma 11'!$AF$31</definedName>
    <definedName name="SIS064_F_Kitoskurorusie3Elektrosenergi5">'[1]Forma 11'!$AC$32</definedName>
    <definedName name="SIS064_F_Kitoskurorusie3Elektrosenergi6">'[1]Forma 11'!$AF$32</definedName>
    <definedName name="SIS064_F_Kitoskurorusie4Elektrosenergi5">'[1]Forma 11'!$AC$33</definedName>
    <definedName name="SIS064_F_Kitoskurorusie4Elektrosenergi6">'[1]Forma 11'!$AF$33</definedName>
    <definedName name="SIS064_F_Kitospaskirtie1Elektrosenergi5">'[1]Forma 11'!$AC$63</definedName>
    <definedName name="SIS064_F_Kitospaskirtie1Elektrosenergi6">'[1]Forma 11'!$AF$63</definedName>
    <definedName name="SIS064_F_Kitospaskirtie2Elektrosenergi5">'[1]Forma 11'!$AC$64</definedName>
    <definedName name="SIS064_F_Kitospaskirtie2Elektrosenergi6">'[1]Forma 11'!$AF$64</definedName>
    <definedName name="SIS064_F_Kitospaskirtie3Elektrosenergi5">'[1]Forma 11'!$AC$65</definedName>
    <definedName name="SIS064_F_Kitospaskirtie3Elektrosenergi6">'[1]Forma 11'!$AF$65</definedName>
    <definedName name="SIS064_F_Kitospaskirtie4Elektrosenergi5">'[1]Forma 11'!$AC$66</definedName>
    <definedName name="SIS064_F_Kitospaskirtie4Elektrosenergi6">'[1]Forma 11'!$AF$66</definedName>
    <definedName name="SIS064_F_Kitospaskirtie5Elektrosenergi5">'[1]Forma 11'!$AC$68</definedName>
    <definedName name="SIS064_F_Kitospaskirtie5Elektrosenergi6">'[1]Forma 11'!$AF$68</definedName>
    <definedName name="SIS064_F_Kitospastovios2Elektrosenergi5">'[1]Forma 11'!$AC$176</definedName>
    <definedName name="SIS064_F_Kitospastovios2Elektrosenergi6">'[1]Forma 11'!$AF$176</definedName>
    <definedName name="SIS064_F_Kitospastovios3Elektrosenergi5">'[1]Forma 11'!$AC$177</definedName>
    <definedName name="SIS064_F_Kitospastovios3Elektrosenergi6">'[1]Forma 11'!$AF$177</definedName>
    <definedName name="SIS064_F_Kitosrinkodaro1Elektrosenergi5">'[1]Forma 11'!$AC$157</definedName>
    <definedName name="SIS064_F_Kitosrinkodaro1Elektrosenergi6">'[1]Forma 11'!$AF$157</definedName>
    <definedName name="SIS064_F_Kitosrinkodaro2Elektrosenergi5">'[1]Forma 11'!$AC$158</definedName>
    <definedName name="SIS064_F_Kitosrinkodaro2Elektrosenergi6">'[1]Forma 11'!$AF$158</definedName>
    <definedName name="SIS064_F_Kitossanaudoss1Elektrosenergi5">'[1]Forma 11'!$AC$25</definedName>
    <definedName name="SIS064_F_Kitossanaudoss1Elektrosenergi6">'[1]Forma 11'!$AF$25</definedName>
    <definedName name="SIS064_F_Kitossanaudoss2Elektrosenergi5">'[1]Forma 11'!$AC$34</definedName>
    <definedName name="SIS064_F_Kitossanaudoss2Elektrosenergi6">'[1]Forma 11'!$AF$34</definedName>
    <definedName name="SIS064_F_Kitossanaudoss3Elektrosenergi5">'[1]Forma 11'!$AC$37</definedName>
    <definedName name="SIS064_F_Kitossanaudoss3Elektrosenergi6">'[1]Forma 11'!$AF$37</definedName>
    <definedName name="SIS064_F_Kitossanaudoss4Elektrosenergi5">'[1]Forma 11'!$AC$41</definedName>
    <definedName name="SIS064_F_Kitossanaudoss4Elektrosenergi6">'[1]Forma 11'!$AF$41</definedName>
    <definedName name="SIS064_F_Kitossanaudoss5Elektrosenergi5">'[1]Forma 11'!$AC$44</definedName>
    <definedName name="SIS064_F_Kitossanaudoss5Elektrosenergi6">'[1]Forma 11'!$AF$44</definedName>
    <definedName name="SIS064_F_Kitossanaudoss6Elektrosenergi5">'[1]Forma 11'!$AC$45</definedName>
    <definedName name="SIS064_F_Kitossanaudoss6Elektrosenergi6">'[1]Forma 11'!$AF$45</definedName>
    <definedName name="SIS064_F_Kitossanaudoss7Elektrosenergi5">'[1]Forma 11'!$AC$161</definedName>
    <definedName name="SIS064_F_Kitossanaudoss7Elektrosenergi6">'[1]Forma 11'!$AF$161</definedName>
    <definedName name="SIS064_F_Kitossupersona1Elektrosenergi5">'[1]Forma 11'!$AC$117</definedName>
    <definedName name="SIS064_F_Kitossupersona1Elektrosenergi6">'[1]Forma 11'!$AF$117</definedName>
    <definedName name="SIS064_F_Kitossupersona2Elektrosenergi5">'[1]Forma 11'!$AC$118</definedName>
    <definedName name="SIS064_F_Kitossupersona2Elektrosenergi6">'[1]Forma 11'!$AF$118</definedName>
    <definedName name="SIS064_F_Kitossupersona3Elektrosenergi5">'[1]Forma 11'!$AC$119</definedName>
    <definedName name="SIS064_F_Kitossupersona3Elektrosenergi6">'[1]Forma 11'!$AF$119</definedName>
    <definedName name="SIS064_F_Kitossupersona4Elektrosenergi5">'[1]Forma 11'!$AC$120</definedName>
    <definedName name="SIS064_F_Kitossupersona4Elektrosenergi6">'[1]Forma 11'!$AF$120</definedName>
    <definedName name="SIS064_F_Kitumasinuirir1Elektrosenergi5">'[1]Forma 11'!$AC$74</definedName>
    <definedName name="SIS064_F_Kitumasinuirir1Elektrosenergi6">'[1]Forma 11'!$AF$74</definedName>
    <definedName name="SIS064_F_Kitumokesciuva1Elektrosenergi5">'[1]Forma 11'!$AC$128</definedName>
    <definedName name="SIS064_F_Kitumokesciuva1Elektrosenergi6">'[1]Forma 11'!$AF$128</definedName>
    <definedName name="SIS064_F_Kituobjektunur1Elektrosenergi5">'[1]Forma 11'!$AC$87</definedName>
    <definedName name="SIS064_F_Kituobjektunur1Elektrosenergi6">'[1]Forma 11'!$AF$87</definedName>
    <definedName name="SIS064_F_Komunalinespas1Elektrosenergi5">'[1]Forma 11'!$AC$143</definedName>
    <definedName name="SIS064_F_Komunalinespas1Elektrosenergi6">'[1]Forma 11'!$AF$143</definedName>
    <definedName name="SIS064_F_Komunaliniupas1Elektrosenergi5">'[1]Forma 11'!$AC$99</definedName>
    <definedName name="SIS064_F_Komunaliniupas1Elektrosenergi6">'[1]Forma 11'!$AF$99</definedName>
    <definedName name="SIS064_F_Konsultacinesp1Elektrosenergi5">'[1]Forma 11'!$AC$137</definedName>
    <definedName name="SIS064_F_Konsultacinesp1Elektrosenergi6">'[1]Forma 11'!$AF$137</definedName>
    <definedName name="SIS064_F_Labdaraparamas1Elektrosenergi5">'[1]Forma 11'!$AC$172</definedName>
    <definedName name="SIS064_F_Labdaraparamas1Elektrosenergi6">'[1]Forma 11'!$AF$172</definedName>
    <definedName name="SIS064_F_Laboratoriniai1Elektrosenergi5">'[1]Forma 11'!$AC$50</definedName>
    <definedName name="SIS064_F_Laboratoriniai1Elektrosenergi6">'[1]Forma 11'!$AF$50</definedName>
    <definedName name="SIS064_F_Likviduotonura1Elektrosenergi5">'[1]Forma 11'!$AC$170</definedName>
    <definedName name="SIS064_F_Likviduotonura1Elektrosenergi6">'[1]Forma 11'!$AF$170</definedName>
    <definedName name="SIS064_F_Masinuirirengi1Elektrosenergi5">'[1]Forma 11'!$AC$70</definedName>
    <definedName name="SIS064_F_Masinuirirengi1Elektrosenergi6">'[1]Forma 11'!$AF$70</definedName>
    <definedName name="SIS064_F_Masinuirirengi2Elektrosenergi5">'[1]Forma 11'!$AC$71</definedName>
    <definedName name="SIS064_F_Masinuirirengi2Elektrosenergi6">'[1]Forma 11'!$AF$71</definedName>
    <definedName name="SIS064_F_Masinuirirengi3Elektrosenergi5">'[1]Forma 11'!$AC$72</definedName>
    <definedName name="SIS064_F_Masinuirirengi3Elektrosenergi6">'[1]Forma 11'!$AF$72</definedName>
    <definedName name="SIS064_F_Masinuirirengi4Elektrosenergi5">'[1]Forma 11'!$AC$73</definedName>
    <definedName name="SIS064_F_Masinuirirengi4Elektrosenergi6">'[1]Forma 11'!$AF$73</definedName>
    <definedName name="SIS064_F_Mazavercioinve1Elektrosenergi5">'[1]Forma 11'!$AC$97</definedName>
    <definedName name="SIS064_F_Mazavercioinve1Elektrosenergi6">'[1]Forma 11'!$AF$97</definedName>
    <definedName name="SIS064_F_Mazutoisigijim1Elektrosenergi5">'[1]Forma 11'!$AC$28</definedName>
    <definedName name="SIS064_F_Mazutoisigijim1Elektrosenergi6">'[1]Forma 11'!$AF$28</definedName>
    <definedName name="SIS064_F_Medienosisigij1Elektrosenergi5">'[1]Forma 11'!$AC$29</definedName>
    <definedName name="SIS064_F_Medienosisigij1Elektrosenergi6">'[1]Forma 11'!$AF$29</definedName>
    <definedName name="SIS064_F_Medziaguzaliav1Elektrosenergi5">'[1]Forma 11'!$AC$88</definedName>
    <definedName name="SIS064_F_Medziaguzaliav1Elektrosenergi6">'[1]Forma 11'!$AF$88</definedName>
    <definedName name="SIS064_F_Medziaguzaliav2Elektrosenergi5">'[1]Forma 11'!$AC$89</definedName>
    <definedName name="SIS064_F_Medziaguzaliav2Elektrosenergi6">'[1]Forma 11'!$AF$89</definedName>
    <definedName name="SIS064_F_Medziaguzaliav3Elektrosenergi5">'[1]Forma 11'!$AC$90</definedName>
    <definedName name="SIS064_F_Medziaguzaliav3Elektrosenergi6">'[1]Forma 11'!$AF$90</definedName>
    <definedName name="SIS064_F_Medziaguzaliav4Elektrosenergi5">'[1]Forma 11'!$AC$91</definedName>
    <definedName name="SIS064_F_Medziaguzaliav4Elektrosenergi6">'[1]Forma 11'!$AF$91</definedName>
    <definedName name="SIS064_F_Medziaguzaliav5Elektrosenergi5">'[1]Forma 11'!$AC$92</definedName>
    <definedName name="SIS064_F_Medziaguzaliav5Elektrosenergi6">'[1]Forma 11'!$AF$92</definedName>
    <definedName name="SIS064_F_Metrologinespa1Elektrosenergi5">'[1]Forma 11'!$AC$103</definedName>
    <definedName name="SIS064_F_Metrologinespa1Elektrosenergi6">'[1]Forma 11'!$AF$103</definedName>
    <definedName name="SIS064_F_Mokymukvalifik1Elektrosenergi5">'[1]Forma 11'!$AC$113</definedName>
    <definedName name="SIS064_F_Mokymukvalifik1Elektrosenergi6">'[1]Forma 11'!$AF$113</definedName>
    <definedName name="SIS064_F_Muitinesireksp1Elektrosenergi5">'[1]Forma 11'!$AC$102</definedName>
    <definedName name="SIS064_F_Muitinesireksp1Elektrosenergi6">'[1]Forma 11'!$AF$102</definedName>
    <definedName name="SIS064_F_Narystesstojam1Elektrosenergi5">'[1]Forma 11'!$AC$169</definedName>
    <definedName name="SIS064_F_Narystesstojam1Elektrosenergi6">'[1]Forma 11'!$AF$169</definedName>
    <definedName name="SIS064_F_Neigiamosmoket1Elektrosenergi5">'[1]Forma 11'!$AC$132</definedName>
    <definedName name="SIS064_F_Neigiamosmoket1Elektrosenergi6">'[1]Forma 11'!$AF$132</definedName>
    <definedName name="SIS064_F_Nekilnojamotur1Elektrosenergi5">'[1]Forma 11'!$AC$123</definedName>
    <definedName name="SIS064_F_Nekilnojamotur1Elektrosenergi6">'[1]Forma 11'!$AF$123</definedName>
    <definedName name="SIS064_F_Nuotekutvarkym1Elektrosenergi5">'[1]Forma 11'!$AC$40</definedName>
    <definedName name="SIS064_F_Nuotekutvarkym1Elektrosenergi6">'[1]Forma 11'!$AF$40</definedName>
    <definedName name="SIS064_F_Nuotolinesduom1Elektrosenergi5">'[1]Forma 11'!$AC$94</definedName>
    <definedName name="SIS064_F_Nuotolinesduom1Elektrosenergi6">'[1]Forma 11'!$AF$94</definedName>
    <definedName name="SIS064_F_Nurasytuatsisk1Elektrosenergi5">'[1]Forma 11'!$AC$171</definedName>
    <definedName name="SIS064_F_Nurasytuatsisk1Elektrosenergi6">'[1]Forma 11'!$AF$171</definedName>
    <definedName name="SIS064_F_Orginventoriau1Elektrosenergi5">'[1]Forma 11'!$AC$141</definedName>
    <definedName name="SIS064_F_Orginventoriau1Elektrosenergi6">'[1]Forma 11'!$AF$141</definedName>
    <definedName name="SIS064_F_Palukanusanaud1Elektrosenergi5">'[1]Forma 11'!$AC$131</definedName>
    <definedName name="SIS064_F_Palukanusanaud1Elektrosenergi6">'[1]Forma 11'!$AF$131</definedName>
    <definedName name="SIS064_F_Papildomodarbu1Elektrosenergi5">'[1]Forma 11'!$AC$112</definedName>
    <definedName name="SIS064_F_Papildomodarbu1Elektrosenergi6">'[1]Forma 11'!$AF$112</definedName>
    <definedName name="SIS064_F_Pastopasiuntin1Elektrosenergi5">'[1]Forma 11'!$AC$139</definedName>
    <definedName name="SIS064_F_Pastopasiuntin1Elektrosenergi6">'[1]Forma 11'!$AF$139</definedName>
    <definedName name="SIS064_F_Patalpuneadmin1Elektrosenergi5">'[1]Forma 11'!$AC$95</definedName>
    <definedName name="SIS064_F_Patalpuneadmin1Elektrosenergi6">'[1]Forma 11'!$AF$95</definedName>
    <definedName name="SIS064_F_Patalpuprieziu1Elektrosenergi5">'[1]Forma 11'!$AC$144</definedName>
    <definedName name="SIS064_F_Patalpuprieziu1Elektrosenergi6">'[1]Forma 11'!$AF$144</definedName>
    <definedName name="SIS064_F_Patentulicenci1Elektrosenergi5">'[1]Forma 11'!$AC$57</definedName>
    <definedName name="SIS064_F_Patentulicenci1Elektrosenergi6">'[1]Forma 11'!$AF$57</definedName>
    <definedName name="SIS064_F_Pelenutvarkymo1Elektrosenergi5">'[1]Forma 11'!$AC$47</definedName>
    <definedName name="SIS064_F_Pelenutvarkymo1Elektrosenergi6">'[1]Forma 11'!$AF$47</definedName>
    <definedName name="SIS064_F_Pletrosdarbunu1Elektrosenergi5">'[1]Forma 11'!$AC$55</definedName>
    <definedName name="SIS064_F_Pletrosdarbunu1Elektrosenergi6">'[1]Forma 11'!$AF$55</definedName>
    <definedName name="SIS064_F_Prekeszenkloiv1Elektrosenergi5">'[1]Forma 11'!$AC$151</definedName>
    <definedName name="SIS064_F_Prekeszenkloiv1Elektrosenergi6">'[1]Forma 11'!$AF$151</definedName>
    <definedName name="SIS064_F_Prestizonuside1Elektrosenergi5">'[1]Forma 11'!$AC$56</definedName>
    <definedName name="SIS064_F_Prestizonuside1Elektrosenergi6">'[1]Forma 11'!$AF$56</definedName>
    <definedName name="SIS064_F_Priskaitytosba1Elektrosenergi5">'[1]Forma 11'!$AC$174</definedName>
    <definedName name="SIS064_F_Priskaitytosba1Elektrosenergi6">'[1]Forma 11'!$AF$174</definedName>
    <definedName name="SIS064_F_Privalomovarto1Elektrosenergi5">'[1]Forma 11'!$AC$150</definedName>
    <definedName name="SIS064_F_Privalomovarto1Elektrosenergi6">'[1]Forma 11'!$AF$150</definedName>
    <definedName name="SIS064_F_Profesineliter1Elektrosenergi5">'[1]Forma 11'!$AC$142</definedName>
    <definedName name="SIS064_F_Profesineliter1Elektrosenergi6">'[1]Forma 11'!$AF$142</definedName>
    <definedName name="SIS064_F_Programinesira1Elektrosenergi5">'[1]Forma 11'!$AC$58</definedName>
    <definedName name="SIS064_F_Programinesira1Elektrosenergi6">'[1]Forma 11'!$AF$58</definedName>
    <definedName name="SIS064_F_Reklamospaslau1Elektrosenergi5">'[1]Forma 11'!$AC$149</definedName>
    <definedName name="SIS064_F_Reklamospaslau1Elektrosenergi6">'[1]Forma 11'!$AF$149</definedName>
    <definedName name="SIS064_F_Reprezentacijo1Elektrosenergi5">'[1]Forma 11'!$AC$155</definedName>
    <definedName name="SIS064_F_Reprezentacijo1Elektrosenergi6">'[1]Forma 11'!$AF$155</definedName>
    <definedName name="SIS064_F_Rezerviniokuro1Elektrosenergi5">'[1]Forma 11'!$AC$96</definedName>
    <definedName name="SIS064_F_Rezerviniokuro1Elektrosenergi6">'[1]Forma 11'!$AF$96</definedName>
    <definedName name="SIS064_F_Rinkostyrimusa1Elektrosenergi5">'[1]Forma 11'!$AC$152</definedName>
    <definedName name="SIS064_F_Rinkostyrimusa1Elektrosenergi6">'[1]Forma 11'!$AF$152</definedName>
    <definedName name="SIS064_F_Rysiupaslaugos1Elektrosenergi5">'[1]Forma 11'!$AC$138</definedName>
    <definedName name="SIS064_F_Rysiupaslaugos1Elektrosenergi6">'[1]Forma 11'!$AF$138</definedName>
    <definedName name="SIS064_F_Saskaituvartot1Elektrosenergi5">'[1]Forma 11'!$AC$153</definedName>
    <definedName name="SIS064_F_Saskaituvartot1Elektrosenergi6">'[1]Forma 11'!$AF$153</definedName>
    <definedName name="SIS064_F_Silumosisigiji2Elektrosenergi5">'[1]Forma 11'!$AC$24</definedName>
    <definedName name="SIS064_F_Silumosisigiji2Elektrosenergi6">'[1]Forma 11'!$AF$24</definedName>
    <definedName name="SIS064_F_Silumospunktue1Elektrosenergi5">'[1]Forma 11'!$AC$85</definedName>
    <definedName name="SIS064_F_Silumospunktue1Elektrosenergi6">'[1]Forma 11'!$AF$85</definedName>
    <definedName name="SIS064_F_Silumosukiotur2Elektrosenergi5">'[1]Forma 11'!$AC$160</definedName>
    <definedName name="SIS064_F_Silumosukiotur2Elektrosenergi6">'[1]Forma 11'!$AF$160</definedName>
    <definedName name="SIS064_F_Skoluisieskoji1Elektrosenergi5">'[1]Forma 11'!$AC$168</definedName>
    <definedName name="SIS064_F_Skoluisieskoji1Elektrosenergi6">'[1]Forma 11'!$AF$168</definedName>
    <definedName name="SIS064_F_Svietimoirkons1Elektrosenergi5">'[1]Forma 11'!$AC$156</definedName>
    <definedName name="SIS064_F_Svietimoirkons1Elektrosenergi6">'[1]Forma 11'!$AF$156</definedName>
    <definedName name="SIS064_F_Tantjemos1Elektrosenergi5">'[1]Forma 11'!$AC$175</definedName>
    <definedName name="SIS064_F_Tantjemos1Elektrosenergi6">'[1]Forma 11'!$AF$175</definedName>
    <definedName name="SIS064_F_Teisinespaslau1Elektrosenergi5">'[1]Forma 11'!$AC$136</definedName>
    <definedName name="SIS064_F_Teisinespaslau1Elektrosenergi6">'[1]Forma 11'!$AF$136</definedName>
    <definedName name="SIS064_F_Tinklueinamojo1Elektrosenergi5">'[1]Forma 11'!$AC$84</definedName>
    <definedName name="SIS064_F_Tinklueinamojo1Elektrosenergi6">'[1]Forma 11'!$AF$84</definedName>
    <definedName name="SIS064_F_Transportoprie1Elektrosenergi5">'[1]Forma 11'!$AC$78</definedName>
    <definedName name="SIS064_F_Transportoprie1Elektrosenergi6">'[1]Forma 11'!$AF$78</definedName>
    <definedName name="SIS064_F_Transportoprie2Elektrosenergi5">'[1]Forma 11'!$AC$100</definedName>
    <definedName name="SIS064_F_Transportoprie2Elektrosenergi6">'[1]Forma 11'!$AF$100</definedName>
    <definedName name="SIS064_F_Transportoprie3Elektrosenergi5">'[1]Forma 11'!$AC$101</definedName>
    <definedName name="SIS064_F_Transportoprie3Elektrosenergi6">'[1]Forma 11'!$AF$101</definedName>
    <definedName name="SIS064_F_Turtodraudimos1Elektrosenergi5">'[1]Forma 11'!$AC$163</definedName>
    <definedName name="SIS064_F_Turtodraudimos1Elektrosenergi6">'[1]Forma 11'!$AF$163</definedName>
    <definedName name="SIS064_F_Turtonuomosnes1Elektrosenergi5">'[1]Forma 11'!$AC$98</definedName>
    <definedName name="SIS064_F_Turtonuomosnes1Elektrosenergi6">'[1]Forma 11'!$AF$98</definedName>
    <definedName name="SIS064_F_Valstybiniuist1Elektrosenergi5">'[1]Forma 11'!$AC$125</definedName>
    <definedName name="SIS064_F_Valstybiniuist1Elektrosenergi6">'[1]Forma 11'!$AF$125</definedName>
    <definedName name="SIS064_F_Vandenstechnol2Elektrosenergi5">'[1]Forma 11'!$AC$39</definedName>
    <definedName name="SIS064_F_Vandenstechnol2Elektrosenergi6">'[1]Forma 11'!$AF$39</definedName>
    <definedName name="SIS064_F_Vartotojumokej1Elektrosenergi5">'[1]Forma 11'!$AC$154</definedName>
    <definedName name="SIS064_F_Vartotojumokej1Elektrosenergi6">'[1]Forma 11'!$AF$154</definedName>
    <definedName name="SIS064_F_Veiklosrizikos1Elektrosenergi5">'[1]Forma 11'!$AC$164</definedName>
    <definedName name="SIS064_F_Veiklosrizikos1Elektrosenergi6">'[1]Forma 11'!$AF$164</definedName>
    <definedName name="SIS064_F_Zemesmokescios1Elektrosenergi5">'[1]Forma 11'!$AC$122</definedName>
    <definedName name="SIS064_F_Zemesmokescios1Elektrosenergi6">'[1]Forma 11'!$AF$122</definedName>
    <definedName name="SIS064_F_Zyminiomokesci1Elektrosenergi5">'[1]Forma 11'!$AC$126</definedName>
    <definedName name="SIS064_F_Zyminiomokesci1Elektrosenergi6">'[1]Forma 11'!$AF$126</definedName>
    <definedName name="SIS065_F_Administracine1Geriamojovande1">'[1]Forma 12'!$AA$63</definedName>
    <definedName name="SIS065_F_Administracine1Paslaugaproduk8">'[1]Forma 12'!$AB$63</definedName>
    <definedName name="SIS065_F_Administracine1Paslaugaproduk9">'[1]Forma 12'!$AD$63</definedName>
    <definedName name="SIS065_F_Apyvartiniutar2Geriamojovande1">'[1]Forma 12'!$AA$39</definedName>
    <definedName name="SIS065_F_Apyvartiniutar2Paslaugaproduk8">'[1]Forma 12'!$AB$39</definedName>
    <definedName name="SIS065_F_Apyvartiniutar2Paslaugaproduk9">'[1]Forma 12'!$AD$39</definedName>
    <definedName name="SIS065_F_Aplinkostarsos1Geriamojovande1">'[1]Forma 12'!$AA$120</definedName>
    <definedName name="SIS065_F_Aplinkostarsos1Paslaugaproduk8">'[1]Forma 12'!$AB$120</definedName>
    <definedName name="SIS065_F_Aplinkostarsos1Paslaugaproduk9">'[1]Forma 12'!$AD$120</definedName>
    <definedName name="SIS065_F_Apsauginiaiird1Geriamojovande1">'[1]Forma 12'!$AA$111</definedName>
    <definedName name="SIS065_F_Apsauginiaiird1Paslaugaproduk8">'[1]Forma 12'!$AB$111</definedName>
    <definedName name="SIS065_F_Apsauginiaiird1Paslaugaproduk9">'[1]Forma 12'!$AD$111</definedName>
    <definedName name="SIS065_F_Atsiskaitomuju1Geriamojovande1">'[1]Forma 12'!$AA$89</definedName>
    <definedName name="SIS065_F_Atsiskaitomuju1Paslaugaproduk8">'[1]Forma 12'!$AB$89</definedName>
    <definedName name="SIS065_F_Atsiskaitomuju1Paslaugaproduk9">'[1]Forma 12'!$AD$89</definedName>
    <definedName name="SIS065_F_Auditofinansin1Geriamojovande1">'[1]Forma 12'!$AA$161</definedName>
    <definedName name="SIS065_F_Auditofinansin1Paslaugaproduk8">'[1]Forma 12'!$AB$161</definedName>
    <definedName name="SIS065_F_Auditofinansin1Paslaugaproduk9">'[1]Forma 12'!$AD$161</definedName>
    <definedName name="SIS065_F_Auditokitosana1Geriamojovande1">'[1]Forma 12'!$AA$163</definedName>
    <definedName name="SIS065_F_Auditokitosana1Paslaugaproduk8">'[1]Forma 12'!$AB$163</definedName>
    <definedName name="SIS065_F_Auditokitosana1Paslaugaproduk9">'[1]Forma 12'!$AD$163</definedName>
    <definedName name="SIS065_F_Auditoreguliuo1Geriamojovande1">'[1]Forma 12'!$AA$162</definedName>
    <definedName name="SIS065_F_Auditoreguliuo1Paslaugaproduk8">'[1]Forma 12'!$AB$162</definedName>
    <definedName name="SIS065_F_Auditoreguliuo1Paslaugaproduk9">'[1]Forma 12'!$AD$162</definedName>
    <definedName name="SIS065_F_Bankopaslauguk1Geriamojovande1">'[1]Forma 12'!$AA$126</definedName>
    <definedName name="SIS065_F_Bankopaslauguk1Paslaugaproduk8">'[1]Forma 12'!$AB$126</definedName>
    <definedName name="SIS065_F_Bankopaslauguk1Paslaugaproduk9">'[1]Forma 12'!$AD$126</definedName>
    <definedName name="SIS065_F_Beviltiskossko1Geriamojovande1">'[1]Forma 12'!$AA$169</definedName>
    <definedName name="SIS065_F_Beviltiskossko1Paslaugaproduk8">'[1]Forma 12'!$AB$169</definedName>
    <definedName name="SIS065_F_Beviltiskossko1Paslaugaproduk9">'[1]Forma 12'!$AD$169</definedName>
    <definedName name="SIS065_F_Cheminesmedzia1Geriamojovande1">'[1]Forma 12'!$AA$47</definedName>
    <definedName name="SIS065_F_Cheminesmedzia1Paslaugaproduk8">'[1]Forma 12'!$AB$47</definedName>
    <definedName name="SIS065_F_Cheminesmedzia1Paslaugaproduk9">'[1]Forma 12'!$AD$47</definedName>
    <definedName name="SIS065_F_Darbdavioimoku1Geriamojovande1">'[1]Forma 12'!$AA$107</definedName>
    <definedName name="SIS065_F_Darbdavioimoku1Paslaugaproduk8">'[1]Forma 12'!$AB$107</definedName>
    <definedName name="SIS065_F_Darbdavioimoku1Paslaugaproduk9">'[1]Forma 12'!$AD$107</definedName>
    <definedName name="SIS065_F_Darbouzmokesci1Geriamojovande1">'[1]Forma 12'!$AA$106</definedName>
    <definedName name="SIS065_F_Darbouzmokesci1Paslaugaproduk8">'[1]Forma 12'!$AB$106</definedName>
    <definedName name="SIS065_F_Darbouzmokesci1Paslaugaproduk9">'[1]Forma 12'!$AD$106</definedName>
    <definedName name="SIS065_F_Elektrosenergi4Geriamojovande1">'[1]Forma 12'!$AA$32</definedName>
    <definedName name="SIS065_F_Elektrosenergi4Paslaugaproduk8">'[1]Forma 12'!$AB$32</definedName>
    <definedName name="SIS065_F_Elektrosenergi4Paslaugaproduk9">'[1]Forma 12'!$AD$32</definedName>
    <definedName name="SIS065_F_Energetikosist1Geriamojovande1">'[1]Forma 12'!$AA$123</definedName>
    <definedName name="SIS065_F_Energetikosist1Paslaugaproduk8">'[1]Forma 12'!$AB$123</definedName>
    <definedName name="SIS065_F_Energetikosist1Paslaugaproduk9">'[1]Forma 12'!$AD$123</definedName>
    <definedName name="SIS065_F_Energijosistek1Geriamojovande1">'[1]Forma 12'!$AA$44</definedName>
    <definedName name="SIS065_F_Energijosistek1Paslaugaproduk8">'[1]Forma 12'!$AB$44</definedName>
    <definedName name="SIS065_F_Energijosistek1Paslaugaproduk9">'[1]Forma 12'!$AD$44</definedName>
    <definedName name="SIS065_F_Gamybinespaski1Geriamojovande1">'[1]Forma 12'!$AA$56</definedName>
    <definedName name="SIS065_F_Gamybinespaski1Paslaugaproduk8">'[1]Forma 12'!$AB$56</definedName>
    <definedName name="SIS065_F_Gamybinespaski1Paslaugaproduk9">'[1]Forma 12'!$AD$56</definedName>
    <definedName name="SIS065_F_Gamybinespaski2Geriamojovande1">'[1]Forma 12'!$AA$57</definedName>
    <definedName name="SIS065_F_Gamybinespaski2Paslaugaproduk8">'[1]Forma 12'!$AB$57</definedName>
    <definedName name="SIS065_F_Gamybinespaski2Paslaugaproduk9">'[1]Forma 12'!$AD$57</definedName>
    <definedName name="SIS065_F_Gamybinespaski3Geriamojovande1">'[1]Forma 12'!$AA$58</definedName>
    <definedName name="SIS065_F_Gamybinespaski3Paslaugaproduk8">'[1]Forma 12'!$AB$58</definedName>
    <definedName name="SIS065_F_Gamybinespaski3Paslaugaproduk9">'[1]Forma 12'!$AD$58</definedName>
    <definedName name="SIS065_F_Gamybosobjektu1Geriamojovande1">'[1]Forma 12'!$AA$79</definedName>
    <definedName name="SIS065_F_Gamybosobjektu1Paslaugaproduk8">'[1]Forma 12'!$AB$79</definedName>
    <definedName name="SIS065_F_Gamybosobjektu1Paslaugaproduk9">'[1]Forma 12'!$AD$79</definedName>
    <definedName name="SIS065_F_Gamtiniudujubi1Geriamojovande1">'[1]Forma 12'!$AA$45</definedName>
    <definedName name="SIS065_F_Gamtiniudujubi1Paslaugaproduk8">'[1]Forma 12'!$AB$45</definedName>
    <definedName name="SIS065_F_Gamtiniudujubi1Paslaugaproduk9">'[1]Forma 12'!$AD$45</definedName>
    <definedName name="SIS065_F_Gamtiniudujuis1Geriamojovande1">'[1]Forma 12'!$AA$23</definedName>
    <definedName name="SIS065_F_Gamtiniudujuis1Paslaugaproduk8">'[1]Forma 12'!$AB$23</definedName>
    <definedName name="SIS065_F_Gamtiniudujuis1Paslaugaproduk9">'[1]Forma 12'!$AD$23</definedName>
    <definedName name="SIS065_F_Investiciniotu1Geriamojovande1">'[1]Forma 12'!$AA$76</definedName>
    <definedName name="SIS065_F_Investiciniotu1Paslaugaproduk8">'[1]Forma 12'!$AB$76</definedName>
    <definedName name="SIS065_F_Investiciniotu1Paslaugaproduk9">'[1]Forma 12'!$AD$76</definedName>
    <definedName name="SIS065_F_Iseitinespasal1Geriamojovande1">'[1]Forma 12'!$AA$110</definedName>
    <definedName name="SIS065_F_Iseitinespasal1Paslaugaproduk8">'[1]Forma 12'!$AB$110</definedName>
    <definedName name="SIS065_F_Iseitinespasal1Paslaugaproduk9">'[1]Forma 12'!$AD$110</definedName>
    <definedName name="SIS065_F_Itaptarnavimos1Geriamojovande1">'[1]Forma 12'!$AA$82</definedName>
    <definedName name="SIS065_F_Itaptarnavimos1Paslaugaproduk8">'[1]Forma 12'!$AB$82</definedName>
    <definedName name="SIS065_F_Itaptarnavimos1Paslaugaproduk9">'[1]Forma 12'!$AD$82</definedName>
    <definedName name="SIS065_F_Kanceliariness1Geriamojovande1">'[1]Forma 12'!$AA$136</definedName>
    <definedName name="SIS065_F_Kanceliariness1Paslaugaproduk8">'[1]Forma 12'!$AB$136</definedName>
    <definedName name="SIS065_F_Kanceliariness1Paslaugaproduk9">'[1]Forma 12'!$AD$136</definedName>
    <definedName name="SIS065_F_Kelionessanaud1Geriamojovande1">'[1]Forma 12'!$AA$112</definedName>
    <definedName name="SIS065_F_Kelionessanaud1Paslaugaproduk8">'[1]Forma 12'!$AB$112</definedName>
    <definedName name="SIS065_F_Kelionessanaud1Paslaugaproduk9">'[1]Forma 12'!$AD$112</definedName>
    <definedName name="SIS065_F_Kitoilgalaikio1Geriamojovande1">'[1]Forma 12'!$AA$77</definedName>
    <definedName name="SIS065_F_Kitoilgalaikio1Paslaugaproduk8">'[1]Forma 12'!$AB$77</definedName>
    <definedName name="SIS065_F_Kitoilgalaikio1Paslaugaproduk9">'[1]Forma 12'!$AD$77</definedName>
    <definedName name="SIS065_F_Kitomaterialau1Geriamojovande1">'[1]Forma 12'!$AA$75</definedName>
    <definedName name="SIS065_F_Kitomaterialau1Paslaugaproduk8">'[1]Forma 12'!$AB$75</definedName>
    <definedName name="SIS065_F_Kitomaterialau1Paslaugaproduk9">'[1]Forma 12'!$AD$75</definedName>
    <definedName name="SIS065_F_Kitonematerial1Geriamojovande1">'[1]Forma 12'!$AA$55</definedName>
    <definedName name="SIS065_F_Kitonematerial1Paslaugaproduk8">'[1]Forma 12'!$AB$55</definedName>
    <definedName name="SIS065_F_Kitonematerial1Paslaugaproduk9">'[1]Forma 12'!$AD$55</definedName>
    <definedName name="SIS065_F_Kitosadministr1Geriamojovande1">'[1]Forma 12'!$AA$141</definedName>
    <definedName name="SIS065_F_Kitosadministr1Paslaugaproduk8">'[1]Forma 12'!$AB$141</definedName>
    <definedName name="SIS065_F_Kitosadministr1Paslaugaproduk9">'[1]Forma 12'!$AD$141</definedName>
    <definedName name="SIS065_F_Kitosadministr2Geriamojovande1">'[1]Forma 12'!$AA$142</definedName>
    <definedName name="SIS065_F_Kitosadministr2Paslaugaproduk8">'[1]Forma 12'!$AB$142</definedName>
    <definedName name="SIS065_F_Kitosadministr2Paslaugaproduk9">'[1]Forma 12'!$AD$142</definedName>
    <definedName name="SIS065_F_Kitosadministr3Geriamojovande1">'[1]Forma 12'!$AA$143</definedName>
    <definedName name="SIS065_F_Kitosadministr3Paslaugaproduk8">'[1]Forma 12'!$AB$143</definedName>
    <definedName name="SIS065_F_Kitosadministr3Paslaugaproduk9">'[1]Forma 12'!$AD$143</definedName>
    <definedName name="SIS065_F_Kitoseinamojor1Geriamojovande1">'[1]Forma 12'!$AA$100</definedName>
    <definedName name="SIS065_F_Kitoseinamojor1Paslaugaproduk8">'[1]Forma 12'!$AB$100</definedName>
    <definedName name="SIS065_F_Kitoseinamojor1Paslaugaproduk9">'[1]Forma 12'!$AD$100</definedName>
    <definedName name="SIS065_F_Kitoseinamojor2Geriamojovande1">'[1]Forma 12'!$AA$101</definedName>
    <definedName name="SIS065_F_Kitoseinamojor2Paslaugaproduk8">'[1]Forma 12'!$AB$101</definedName>
    <definedName name="SIS065_F_Kitoseinamojor2Paslaugaproduk9">'[1]Forma 12'!$AD$101</definedName>
    <definedName name="SIS065_F_Kitoseinamojor3Geriamojovande1">'[1]Forma 12'!$AA$102</definedName>
    <definedName name="SIS065_F_Kitoseinamojor3Paslaugaproduk8">'[1]Forma 12'!$AB$102</definedName>
    <definedName name="SIS065_F_Kitoseinamojor3Paslaugaproduk9">'[1]Forma 12'!$AD$102</definedName>
    <definedName name="SIS065_F_Kitoseinamojor4Geriamojovande1">'[1]Forma 12'!$AA$103</definedName>
    <definedName name="SIS065_F_Kitoseinamojor4Paslaugaproduk8">'[1]Forma 12'!$AB$103</definedName>
    <definedName name="SIS065_F_Kitoseinamojor4Paslaugaproduk9">'[1]Forma 12'!$AD$103</definedName>
    <definedName name="SIS065_F_Kitoseinamojor5Geriamojovande1">'[1]Forma 12'!$AA$104</definedName>
    <definedName name="SIS065_F_Kitoseinamojor5Paslaugaproduk8">'[1]Forma 12'!$AB$104</definedName>
    <definedName name="SIS065_F_Kitoseinamojor5Paslaugaproduk9">'[1]Forma 12'!$AD$104</definedName>
    <definedName name="SIS065_F_Kitosfinansine1Geriamojovande1">'[1]Forma 12'!$AA$129</definedName>
    <definedName name="SIS065_F_Kitosfinansine1Paslaugaproduk8">'[1]Forma 12'!$AB$129</definedName>
    <definedName name="SIS065_F_Kitosfinansine1Paslaugaproduk9">'[1]Forma 12'!$AD$129</definedName>
    <definedName name="SIS065_F_Kitosfinansine2Geriamojovande1">'[1]Forma 12'!$AA$130</definedName>
    <definedName name="SIS065_F_Kitosfinansine2Paslaugaproduk8">'[1]Forma 12'!$AB$130</definedName>
    <definedName name="SIS065_F_Kitosfinansine2Paslaugaproduk9">'[1]Forma 12'!$AD$130</definedName>
    <definedName name="SIS065_F_Kitosirangospr1Geriamojovande1">'[1]Forma 12'!$AA$65</definedName>
    <definedName name="SIS065_F_Kitosirangospr1Paslaugaproduk8">'[1]Forma 12'!$AB$65</definedName>
    <definedName name="SIS065_F_Kitosirangospr1Paslaugaproduk9">'[1]Forma 12'!$AD$65</definedName>
    <definedName name="SIS065_F_Kitosirangospr2Geriamojovande1">'[1]Forma 12'!$AA$71</definedName>
    <definedName name="SIS065_F_Kitosirangospr2Paslaugaproduk8">'[1]Forma 12'!$AB$71</definedName>
    <definedName name="SIS065_F_Kitosirangospr2Paslaugaproduk9">'[1]Forma 12'!$AD$71</definedName>
    <definedName name="SIS065_F_Kitosirangospr3Geriamojovande1">'[1]Forma 12'!$AA$72</definedName>
    <definedName name="SIS065_F_Kitosirangospr3Paslaugaproduk8">'[1]Forma 12'!$AB$72</definedName>
    <definedName name="SIS065_F_Kitosirangospr3Paslaugaproduk9">'[1]Forma 12'!$AD$72</definedName>
    <definedName name="SIS065_F_Kitosirangospr4Geriamojovande1">'[1]Forma 12'!$AA$73</definedName>
    <definedName name="SIS065_F_Kitosirangospr4Paslaugaproduk8">'[1]Forma 12'!$AB$73</definedName>
    <definedName name="SIS065_F_Kitosirangospr4Paslaugaproduk9">'[1]Forma 12'!$AD$73</definedName>
    <definedName name="SIS065_F_Kitoskintamosi2Geriamojovande1">'[1]Forma 12'!$AA$48</definedName>
    <definedName name="SIS065_F_Kitoskintamosi2Paslaugaproduk8">'[1]Forma 12'!$AB$48</definedName>
    <definedName name="SIS065_F_Kitoskintamosi2Paslaugaproduk9">'[1]Forma 12'!$AD$48</definedName>
    <definedName name="SIS065_F_Kitoskintamosi3Geriamojovande1">'[1]Forma 12'!$AA$49</definedName>
    <definedName name="SIS065_F_Kitoskintamosi3Paslaugaproduk8">'[1]Forma 12'!$AB$49</definedName>
    <definedName name="SIS065_F_Kitoskintamosi3Paslaugaproduk9">'[1]Forma 12'!$AD$49</definedName>
    <definedName name="SIS065_F_Kitoskurorusie1Geriamojovande1">'[1]Forma 12'!$AA$26</definedName>
    <definedName name="SIS065_F_Kitoskurorusie1Paslaugaproduk8">'[1]Forma 12'!$AB$26</definedName>
    <definedName name="SIS065_F_Kitoskurorusie1Paslaugaproduk9">'[1]Forma 12'!$AD$26</definedName>
    <definedName name="SIS065_F_Kitoskurorusie2Geriamojovande1">'[1]Forma 12'!$AA$27</definedName>
    <definedName name="SIS065_F_Kitoskurorusie2Paslaugaproduk8">'[1]Forma 12'!$AB$27</definedName>
    <definedName name="SIS065_F_Kitoskurorusie2Paslaugaproduk9">'[1]Forma 12'!$AD$27</definedName>
    <definedName name="SIS065_F_Kitoskurorusie3Geriamojovande1">'[1]Forma 12'!$AA$28</definedName>
    <definedName name="SIS065_F_Kitoskurorusie3Paslaugaproduk8">'[1]Forma 12'!$AB$28</definedName>
    <definedName name="SIS065_F_Kitoskurorusie3Paslaugaproduk9">'[1]Forma 12'!$AD$28</definedName>
    <definedName name="SIS065_F_Kitoskurorusie4Geriamojovande1">'[1]Forma 12'!$AA$29</definedName>
    <definedName name="SIS065_F_Kitoskurorusie4Paslaugaproduk8">'[1]Forma 12'!$AB$29</definedName>
    <definedName name="SIS065_F_Kitoskurorusie4Paslaugaproduk9">'[1]Forma 12'!$AD$29</definedName>
    <definedName name="SIS065_F_Kitospaskirtie1Geriamojovande1">'[1]Forma 12'!$AA$59</definedName>
    <definedName name="SIS065_F_Kitospaskirtie1Paslaugaproduk8">'[1]Forma 12'!$AB$59</definedName>
    <definedName name="SIS065_F_Kitospaskirtie1Paslaugaproduk9">'[1]Forma 12'!$AD$59</definedName>
    <definedName name="SIS065_F_Kitospaskirtie2Geriamojovande1">'[1]Forma 12'!$AA$60</definedName>
    <definedName name="SIS065_F_Kitospaskirtie2Paslaugaproduk8">'[1]Forma 12'!$AB$60</definedName>
    <definedName name="SIS065_F_Kitospaskirtie2Paslaugaproduk9">'[1]Forma 12'!$AD$60</definedName>
    <definedName name="SIS065_F_Kitospaskirtie3Geriamojovande1">'[1]Forma 12'!$AA$61</definedName>
    <definedName name="SIS065_F_Kitospaskirtie3Paslaugaproduk8">'[1]Forma 12'!$AB$61</definedName>
    <definedName name="SIS065_F_Kitospaskirtie3Paslaugaproduk9">'[1]Forma 12'!$AD$61</definedName>
    <definedName name="SIS065_F_Kitospaskirtie4Geriamojovande1">'[1]Forma 12'!$AA$62</definedName>
    <definedName name="SIS065_F_Kitospaskirtie4Paslaugaproduk8">'[1]Forma 12'!$AB$62</definedName>
    <definedName name="SIS065_F_Kitospaskirtie4Paslaugaproduk9">'[1]Forma 12'!$AD$62</definedName>
    <definedName name="SIS065_F_Kitospaskirtie5Geriamojovande1">'[1]Forma 12'!$AA$64</definedName>
    <definedName name="SIS065_F_Kitospaskirtie5Paslaugaproduk8">'[1]Forma 12'!$AB$64</definedName>
    <definedName name="SIS065_F_Kitospaskirtie5Paslaugaproduk9">'[1]Forma 12'!$AD$64</definedName>
    <definedName name="SIS065_F_Kitospastovios2Geriamojovande1">'[1]Forma 12'!$AA$172</definedName>
    <definedName name="SIS065_F_Kitospastovios2Paslaugaproduk8">'[1]Forma 12'!$AB$172</definedName>
    <definedName name="SIS065_F_Kitospastovios2Paslaugaproduk9">'[1]Forma 12'!$AD$172</definedName>
    <definedName name="SIS065_F_Kitospastovios3Geriamojovande1">'[1]Forma 12'!$AA$173</definedName>
    <definedName name="SIS065_F_Kitospastovios3Paslaugaproduk8">'[1]Forma 12'!$AB$173</definedName>
    <definedName name="SIS065_F_Kitospastovios3Paslaugaproduk9">'[1]Forma 12'!$AD$173</definedName>
    <definedName name="SIS065_F_Kitosrinkodaro1Geriamojovande1">'[1]Forma 12'!$AA$153</definedName>
    <definedName name="SIS065_F_Kitosrinkodaro1Paslaugaproduk8">'[1]Forma 12'!$AB$153</definedName>
    <definedName name="SIS065_F_Kitosrinkodaro1Paslaugaproduk9">'[1]Forma 12'!$AD$153</definedName>
    <definedName name="SIS065_F_Kitosrinkodaro2Geriamojovande1">'[1]Forma 12'!$AA$154</definedName>
    <definedName name="SIS065_F_Kitosrinkodaro2Paslaugaproduk8">'[1]Forma 12'!$AB$154</definedName>
    <definedName name="SIS065_F_Kitosrinkodaro2Paslaugaproduk9">'[1]Forma 12'!$AD$154</definedName>
    <definedName name="SIS065_F_Kitossanaudoss1Geriamojovande1">'[1]Forma 12'!$AA$21</definedName>
    <definedName name="SIS065_F_Kitossanaudoss1Paslaugaproduk8">'[1]Forma 12'!$AB$21</definedName>
    <definedName name="SIS065_F_Kitossanaudoss1Paslaugaproduk9">'[1]Forma 12'!$AD$21</definedName>
    <definedName name="SIS065_F_Kitossanaudoss2Geriamojovande1">'[1]Forma 12'!$AA$30</definedName>
    <definedName name="SIS065_F_Kitossanaudoss2Paslaugaproduk8">'[1]Forma 12'!$AB$30</definedName>
    <definedName name="SIS065_F_Kitossanaudoss2Paslaugaproduk9">'[1]Forma 12'!$AD$30</definedName>
    <definedName name="SIS065_F_Kitossanaudoss3Geriamojovande1">'[1]Forma 12'!$AA$33</definedName>
    <definedName name="SIS065_F_Kitossanaudoss3Paslaugaproduk8">'[1]Forma 12'!$AB$33</definedName>
    <definedName name="SIS065_F_Kitossanaudoss3Paslaugaproduk9">'[1]Forma 12'!$AD$33</definedName>
    <definedName name="SIS065_F_Kitossanaudoss4Geriamojovande1">'[1]Forma 12'!$AA$37</definedName>
    <definedName name="SIS065_F_Kitossanaudoss4Paslaugaproduk8">'[1]Forma 12'!$AB$37</definedName>
    <definedName name="SIS065_F_Kitossanaudoss4Paslaugaproduk9">'[1]Forma 12'!$AD$37</definedName>
    <definedName name="SIS065_F_Kitossanaudoss5Geriamojovande1">'[1]Forma 12'!$AA$40</definedName>
    <definedName name="SIS065_F_Kitossanaudoss5Paslaugaproduk8">'[1]Forma 12'!$AB$40</definedName>
    <definedName name="SIS065_F_Kitossanaudoss5Paslaugaproduk9">'[1]Forma 12'!$AD$40</definedName>
    <definedName name="SIS065_F_Kitossanaudoss6Geriamojovande1">'[1]Forma 12'!$AA$41</definedName>
    <definedName name="SIS065_F_Kitossanaudoss6Paslaugaproduk8">'[1]Forma 12'!$AB$41</definedName>
    <definedName name="SIS065_F_Kitossanaudoss6Paslaugaproduk9">'[1]Forma 12'!$AD$41</definedName>
    <definedName name="SIS065_F_Kitossanaudoss7Geriamojovande1">'[1]Forma 12'!$AA$157</definedName>
    <definedName name="SIS065_F_Kitossanaudoss7Paslaugaproduk8">'[1]Forma 12'!$AB$157</definedName>
    <definedName name="SIS065_F_Kitossanaudoss7Paslaugaproduk9">'[1]Forma 12'!$AD$157</definedName>
    <definedName name="SIS065_F_Kitossupersona1Geriamojovande1">'[1]Forma 12'!$AA$113</definedName>
    <definedName name="SIS065_F_Kitossupersona1Paslaugaproduk8">'[1]Forma 12'!$AB$113</definedName>
    <definedName name="SIS065_F_Kitossupersona1Paslaugaproduk9">'[1]Forma 12'!$AD$113</definedName>
    <definedName name="SIS065_F_Kitossupersona2Geriamojovande1">'[1]Forma 12'!$AA$114</definedName>
    <definedName name="SIS065_F_Kitossupersona2Paslaugaproduk8">'[1]Forma 12'!$AB$114</definedName>
    <definedName name="SIS065_F_Kitossupersona2Paslaugaproduk9">'[1]Forma 12'!$AD$114</definedName>
    <definedName name="SIS065_F_Kitossupersona3Geriamojovande1">'[1]Forma 12'!$AA$115</definedName>
    <definedName name="SIS065_F_Kitossupersona3Paslaugaproduk8">'[1]Forma 12'!$AB$115</definedName>
    <definedName name="SIS065_F_Kitossupersona3Paslaugaproduk9">'[1]Forma 12'!$AD$115</definedName>
    <definedName name="SIS065_F_Kitossupersona4Geriamojovande1">'[1]Forma 12'!$AA$116</definedName>
    <definedName name="SIS065_F_Kitossupersona4Paslaugaproduk8">'[1]Forma 12'!$AB$116</definedName>
    <definedName name="SIS065_F_Kitossupersona4Paslaugaproduk9">'[1]Forma 12'!$AD$116</definedName>
    <definedName name="SIS065_F_Kitumasinuirir1Geriamojovande1">'[1]Forma 12'!$AA$70</definedName>
    <definedName name="SIS065_F_Kitumasinuirir1Paslaugaproduk8">'[1]Forma 12'!$AB$70</definedName>
    <definedName name="SIS065_F_Kitumasinuirir1Paslaugaproduk9">'[1]Forma 12'!$AD$70</definedName>
    <definedName name="SIS065_F_Kitumokesciuva1Geriamojovande1">'[1]Forma 12'!$AA$124</definedName>
    <definedName name="SIS065_F_Kitumokesciuva1Paslaugaproduk8">'[1]Forma 12'!$AB$124</definedName>
    <definedName name="SIS065_F_Kitumokesciuva1Paslaugaproduk9">'[1]Forma 12'!$AD$124</definedName>
    <definedName name="SIS065_F_Kituobjektunur1Geriamojovande1">'[1]Forma 12'!$AA$83</definedName>
    <definedName name="SIS065_F_Kituobjektunur1Paslaugaproduk8">'[1]Forma 12'!$AB$83</definedName>
    <definedName name="SIS065_F_Kituobjektunur1Paslaugaproduk9">'[1]Forma 12'!$AD$83</definedName>
    <definedName name="SIS065_F_Komunalinespas1Geriamojovande1">'[1]Forma 12'!$AA$139</definedName>
    <definedName name="SIS065_F_Komunalinespas1Paslaugaproduk8">'[1]Forma 12'!$AB$139</definedName>
    <definedName name="SIS065_F_Komunalinespas1Paslaugaproduk9">'[1]Forma 12'!$AD$139</definedName>
    <definedName name="SIS065_F_Komunaliniupas1Geriamojovande1">'[1]Forma 12'!$AA$95</definedName>
    <definedName name="SIS065_F_Komunaliniupas1Paslaugaproduk8">'[1]Forma 12'!$AB$95</definedName>
    <definedName name="SIS065_F_Komunaliniupas1Paslaugaproduk9">'[1]Forma 12'!$AD$95</definedName>
    <definedName name="SIS065_F_Konsultacinesp1Geriamojovande1">'[1]Forma 12'!$AA$133</definedName>
    <definedName name="SIS065_F_Konsultacinesp1Paslaugaproduk8">'[1]Forma 12'!$AB$133</definedName>
    <definedName name="SIS065_F_Konsultacinesp1Paslaugaproduk9">'[1]Forma 12'!$AD$133</definedName>
    <definedName name="SIS065_F_Labdaraparamas1Geriamojovande1">'[1]Forma 12'!$AA$168</definedName>
    <definedName name="SIS065_F_Labdaraparamas1Paslaugaproduk8">'[1]Forma 12'!$AB$168</definedName>
    <definedName name="SIS065_F_Labdaraparamas1Paslaugaproduk9">'[1]Forma 12'!$AD$168</definedName>
    <definedName name="SIS065_F_Laboratoriniai1Geriamojovande1">'[1]Forma 12'!$AA$46</definedName>
    <definedName name="SIS065_F_Laboratoriniai1Paslaugaproduk8">'[1]Forma 12'!$AB$46</definedName>
    <definedName name="SIS065_F_Laboratoriniai1Paslaugaproduk9">'[1]Forma 12'!$AD$46</definedName>
    <definedName name="SIS065_F_Likviduotonura1Geriamojovande1">'[1]Forma 12'!$AA$166</definedName>
    <definedName name="SIS065_F_Likviduotonura1Paslaugaproduk8">'[1]Forma 12'!$AB$166</definedName>
    <definedName name="SIS065_F_Likviduotonura1Paslaugaproduk9">'[1]Forma 12'!$AD$166</definedName>
    <definedName name="SIS065_F_Masinuirirengi1Geriamojovande1">'[1]Forma 12'!$AA$66</definedName>
    <definedName name="SIS065_F_Masinuirirengi1Paslaugaproduk8">'[1]Forma 12'!$AB$66</definedName>
    <definedName name="SIS065_F_Masinuirirengi1Paslaugaproduk9">'[1]Forma 12'!$AD$66</definedName>
    <definedName name="SIS065_F_Masinuirirengi2Geriamojovande1">'[1]Forma 12'!$AA$67</definedName>
    <definedName name="SIS065_F_Masinuirirengi2Paslaugaproduk8">'[1]Forma 12'!$AB$67</definedName>
    <definedName name="SIS065_F_Masinuirirengi2Paslaugaproduk9">'[1]Forma 12'!$AD$67</definedName>
    <definedName name="SIS065_F_Masinuirirengi3Geriamojovande1">'[1]Forma 12'!$AA$68</definedName>
    <definedName name="SIS065_F_Masinuirirengi3Paslaugaproduk8">'[1]Forma 12'!$AB$68</definedName>
    <definedName name="SIS065_F_Masinuirirengi3Paslaugaproduk9">'[1]Forma 12'!$AD$68</definedName>
    <definedName name="SIS065_F_Masinuirirengi4Geriamojovande1">'[1]Forma 12'!$AA$69</definedName>
    <definedName name="SIS065_F_Masinuirirengi4Paslaugaproduk8">'[1]Forma 12'!$AB$69</definedName>
    <definedName name="SIS065_F_Masinuirirengi4Paslaugaproduk9">'[1]Forma 12'!$AD$69</definedName>
    <definedName name="SIS065_F_Mazavercioinve1Geriamojovande1">'[1]Forma 12'!$AA$93</definedName>
    <definedName name="SIS065_F_Mazavercioinve1Paslaugaproduk8">'[1]Forma 12'!$AB$93</definedName>
    <definedName name="SIS065_F_Mazavercioinve1Paslaugaproduk9">'[1]Forma 12'!$AD$93</definedName>
    <definedName name="SIS065_F_Mazutoisigijim1Geriamojovande1">'[1]Forma 12'!$AA$24</definedName>
    <definedName name="SIS065_F_Mazutoisigijim1Paslaugaproduk8">'[1]Forma 12'!$AB$24</definedName>
    <definedName name="SIS065_F_Mazutoisigijim1Paslaugaproduk9">'[1]Forma 12'!$AD$24</definedName>
    <definedName name="SIS065_F_Medienosisigij1Geriamojovande1">'[1]Forma 12'!$AA$25</definedName>
    <definedName name="SIS065_F_Medienosisigij1Paslaugaproduk8">'[1]Forma 12'!$AB$25</definedName>
    <definedName name="SIS065_F_Medienosisigij1Paslaugaproduk9">'[1]Forma 12'!$AD$25</definedName>
    <definedName name="SIS065_F_Medziaguzaliav1Geriamojovande1">'[1]Forma 12'!$AA$84</definedName>
    <definedName name="SIS065_F_Medziaguzaliav1Paslaugaproduk8">'[1]Forma 12'!$AB$84</definedName>
    <definedName name="SIS065_F_Medziaguzaliav1Paslaugaproduk9">'[1]Forma 12'!$AD$84</definedName>
    <definedName name="SIS065_F_Medziaguzaliav2Geriamojovande1">'[1]Forma 12'!$AA$85</definedName>
    <definedName name="SIS065_F_Medziaguzaliav2Paslaugaproduk8">'[1]Forma 12'!$AB$85</definedName>
    <definedName name="SIS065_F_Medziaguzaliav2Paslaugaproduk9">'[1]Forma 12'!$AD$85</definedName>
    <definedName name="SIS065_F_Medziaguzaliav3Geriamojovande1">'[1]Forma 12'!$AA$86</definedName>
    <definedName name="SIS065_F_Medziaguzaliav3Paslaugaproduk8">'[1]Forma 12'!$AB$86</definedName>
    <definedName name="SIS065_F_Medziaguzaliav3Paslaugaproduk9">'[1]Forma 12'!$AD$86</definedName>
    <definedName name="SIS065_F_Medziaguzaliav4Geriamojovande1">'[1]Forma 12'!$AA$87</definedName>
    <definedName name="SIS065_F_Medziaguzaliav4Paslaugaproduk8">'[1]Forma 12'!$AB$87</definedName>
    <definedName name="SIS065_F_Medziaguzaliav4Paslaugaproduk9">'[1]Forma 12'!$AD$87</definedName>
    <definedName name="SIS065_F_Medziaguzaliav5Geriamojovande1">'[1]Forma 12'!$AA$88</definedName>
    <definedName name="SIS065_F_Medziaguzaliav5Paslaugaproduk8">'[1]Forma 12'!$AB$88</definedName>
    <definedName name="SIS065_F_Medziaguzaliav5Paslaugaproduk9">'[1]Forma 12'!$AD$88</definedName>
    <definedName name="SIS065_F_Metrologinespa1Geriamojovande1">'[1]Forma 12'!$AA$99</definedName>
    <definedName name="SIS065_F_Metrologinespa1Paslaugaproduk8">'[1]Forma 12'!$AB$99</definedName>
    <definedName name="SIS065_F_Metrologinespa1Paslaugaproduk9">'[1]Forma 12'!$AD$99</definedName>
    <definedName name="SIS065_F_Mokymukvalifik1Geriamojovande1">'[1]Forma 12'!$AA$109</definedName>
    <definedName name="SIS065_F_Mokymukvalifik1Paslaugaproduk8">'[1]Forma 12'!$AB$109</definedName>
    <definedName name="SIS065_F_Mokymukvalifik1Paslaugaproduk9">'[1]Forma 12'!$AD$109</definedName>
    <definedName name="SIS065_F_Muitinesireksp1Geriamojovande1">'[1]Forma 12'!$AA$98</definedName>
    <definedName name="SIS065_F_Muitinesireksp1Paslaugaproduk8">'[1]Forma 12'!$AB$98</definedName>
    <definedName name="SIS065_F_Muitinesireksp1Paslaugaproduk9">'[1]Forma 12'!$AD$98</definedName>
    <definedName name="SIS065_F_Narystesstojam1Geriamojovande1">'[1]Forma 12'!$AA$165</definedName>
    <definedName name="SIS065_F_Narystesstojam1Paslaugaproduk8">'[1]Forma 12'!$AB$165</definedName>
    <definedName name="SIS065_F_Narystesstojam1Paslaugaproduk9">'[1]Forma 12'!$AD$165</definedName>
    <definedName name="SIS065_F_Neigiamosmoket1Geriamojovande1">'[1]Forma 12'!$AA$128</definedName>
    <definedName name="SIS065_F_Neigiamosmoket1Paslaugaproduk8">'[1]Forma 12'!$AB$128</definedName>
    <definedName name="SIS065_F_Neigiamosmoket1Paslaugaproduk9">'[1]Forma 12'!$AD$128</definedName>
    <definedName name="SIS065_F_Nekilnojamotur1Geriamojovande1">'[1]Forma 12'!$AA$119</definedName>
    <definedName name="SIS065_F_Nekilnojamotur1Paslaugaproduk8">'[1]Forma 12'!$AB$119</definedName>
    <definedName name="SIS065_F_Nekilnojamotur1Paslaugaproduk9">'[1]Forma 12'!$AD$119</definedName>
    <definedName name="SIS065_F_Nuotekutvarkym1Geriamojovande1">'[1]Forma 12'!$AA$36</definedName>
    <definedName name="SIS065_F_Nuotekutvarkym1Paslaugaproduk8">'[1]Forma 12'!$AB$36</definedName>
    <definedName name="SIS065_F_Nuotekutvarkym1Paslaugaproduk9">'[1]Forma 12'!$AD$36</definedName>
    <definedName name="SIS065_F_Nuotolinesduom1Geriamojovande1">'[1]Forma 12'!$AA$90</definedName>
    <definedName name="SIS065_F_Nuotolinesduom1Paslaugaproduk8">'[1]Forma 12'!$AB$90</definedName>
    <definedName name="SIS065_F_Nuotolinesduom1Paslaugaproduk9">'[1]Forma 12'!$AD$90</definedName>
    <definedName name="SIS065_F_Nurasytuatsisk1Geriamojovande1">'[1]Forma 12'!$AA$167</definedName>
    <definedName name="SIS065_F_Nurasytuatsisk1Paslaugaproduk8">'[1]Forma 12'!$AB$167</definedName>
    <definedName name="SIS065_F_Nurasytuatsisk1Paslaugaproduk9">'[1]Forma 12'!$AD$167</definedName>
    <definedName name="SIS065_F_Orginventoriau1Geriamojovande1">'[1]Forma 12'!$AA$137</definedName>
    <definedName name="SIS065_F_Orginventoriau1Paslaugaproduk8">'[1]Forma 12'!$AB$137</definedName>
    <definedName name="SIS065_F_Orginventoriau1Paslaugaproduk9">'[1]Forma 12'!$AD$137</definedName>
    <definedName name="SIS065_F_Palukanusanaud1Geriamojovande1">'[1]Forma 12'!$AA$127</definedName>
    <definedName name="SIS065_F_Palukanusanaud1Paslaugaproduk8">'[1]Forma 12'!$AB$127</definedName>
    <definedName name="SIS065_F_Palukanusanaud1Paslaugaproduk9">'[1]Forma 12'!$AD$127</definedName>
    <definedName name="SIS065_F_Papildomodarbu1Geriamojovande1">'[1]Forma 12'!$AA$108</definedName>
    <definedName name="SIS065_F_Papildomodarbu1Paslaugaproduk8">'[1]Forma 12'!$AB$108</definedName>
    <definedName name="SIS065_F_Papildomodarbu1Paslaugaproduk9">'[1]Forma 12'!$AD$108</definedName>
    <definedName name="SIS065_F_Pastopasiuntin1Geriamojovande1">'[1]Forma 12'!$AA$135</definedName>
    <definedName name="SIS065_F_Pastopasiuntin1Paslaugaproduk8">'[1]Forma 12'!$AB$135</definedName>
    <definedName name="SIS065_F_Pastopasiuntin1Paslaugaproduk9">'[1]Forma 12'!$AD$135</definedName>
    <definedName name="SIS065_F_Patalpuneadmin1Geriamojovande1">'[1]Forma 12'!$AA$91</definedName>
    <definedName name="SIS065_F_Patalpuneadmin1Paslaugaproduk8">'[1]Forma 12'!$AB$91</definedName>
    <definedName name="SIS065_F_Patalpuneadmin1Paslaugaproduk9">'[1]Forma 12'!$AD$91</definedName>
    <definedName name="SIS065_F_Patalpuprieziu1Geriamojovande1">'[1]Forma 12'!$AA$140</definedName>
    <definedName name="SIS065_F_Patalpuprieziu1Paslaugaproduk8">'[1]Forma 12'!$AB$140</definedName>
    <definedName name="SIS065_F_Patalpuprieziu1Paslaugaproduk9">'[1]Forma 12'!$AD$140</definedName>
    <definedName name="SIS065_F_Patentulicenci1Geriamojovande1">'[1]Forma 12'!$AA$53</definedName>
    <definedName name="SIS065_F_Patentulicenci1Paslaugaproduk8">'[1]Forma 12'!$AB$53</definedName>
    <definedName name="SIS065_F_Patentulicenci1Paslaugaproduk9">'[1]Forma 12'!$AD$53</definedName>
    <definedName name="SIS065_F_Pelenutvarkymo1Geriamojovande1">'[1]Forma 12'!$AA$43</definedName>
    <definedName name="SIS065_F_Pelenutvarkymo1Paslaugaproduk8">'[1]Forma 12'!$AB$43</definedName>
    <definedName name="SIS065_F_Pelenutvarkymo1Paslaugaproduk9">'[1]Forma 12'!$AD$43</definedName>
    <definedName name="SIS065_F_Pletrosdarbunu1Geriamojovande1">'[1]Forma 12'!$AA$51</definedName>
    <definedName name="SIS065_F_Pletrosdarbunu1Paslaugaproduk8">'[1]Forma 12'!$AB$51</definedName>
    <definedName name="SIS065_F_Pletrosdarbunu1Paslaugaproduk9">'[1]Forma 12'!$AD$51</definedName>
    <definedName name="SIS065_F_Prekeszenkloiv1Geriamojovande1">'[1]Forma 12'!$AA$147</definedName>
    <definedName name="SIS065_F_Prekeszenkloiv1Paslaugaproduk8">'[1]Forma 12'!$AB$147</definedName>
    <definedName name="SIS065_F_Prekeszenkloiv1Paslaugaproduk9">'[1]Forma 12'!$AD$147</definedName>
    <definedName name="SIS065_F_Prestizonuside1Geriamojovande1">'[1]Forma 12'!$AA$52</definedName>
    <definedName name="SIS065_F_Prestizonuside1Paslaugaproduk8">'[1]Forma 12'!$AB$52</definedName>
    <definedName name="SIS065_F_Prestizonuside1Paslaugaproduk9">'[1]Forma 12'!$AD$52</definedName>
    <definedName name="SIS065_F_Priskaitytosba1Geriamojovande1">'[1]Forma 12'!$AA$170</definedName>
    <definedName name="SIS065_F_Priskaitytosba1Paslaugaproduk8">'[1]Forma 12'!$AB$170</definedName>
    <definedName name="SIS065_F_Priskaitytosba1Paslaugaproduk9">'[1]Forma 12'!$AD$170</definedName>
    <definedName name="SIS065_F_Priskirtutiesi1Elektrosenergi1">'[1]Forma 12'!$Z$18</definedName>
    <definedName name="SIS065_F_Priskirtutiesi1Elektrosenergi2">'[1]Forma 12'!$AC$18</definedName>
    <definedName name="SIS065_F_Priskirtutiesi1Geriamojovande1">'[1]Forma 12'!$AA$18</definedName>
    <definedName name="SIS065_F_Priskirtutiesi1Isvisobendruju1">'[1]Forma 12'!$G$18</definedName>
    <definedName name="SIS065_F_Priskirtutiesi1Paslaugaproduk8">'[1]Forma 12'!$AB$18</definedName>
    <definedName name="SIS065_F_Priskirtutiesi1Paslaugaproduk9">'[1]Forma 12'!$AD$18</definedName>
    <definedName name="SIS065_F_Privalomovarto1Geriamojovande1">'[1]Forma 12'!$AA$146</definedName>
    <definedName name="SIS065_F_Privalomovarto1Paslaugaproduk8">'[1]Forma 12'!$AB$146</definedName>
    <definedName name="SIS065_F_Privalomovarto1Paslaugaproduk9">'[1]Forma 12'!$AD$146</definedName>
    <definedName name="SIS065_F_Profesineliter1Geriamojovande1">'[1]Forma 12'!$AA$138</definedName>
    <definedName name="SIS065_F_Profesineliter1Paslaugaproduk8">'[1]Forma 12'!$AB$138</definedName>
    <definedName name="SIS065_F_Profesineliter1Paslaugaproduk9">'[1]Forma 12'!$AD$138</definedName>
    <definedName name="SIS065_F_Programinesira1Geriamojovande1">'[1]Forma 12'!$AA$54</definedName>
    <definedName name="SIS065_F_Programinesira1Paslaugaproduk8">'[1]Forma 12'!$AB$54</definedName>
    <definedName name="SIS065_F_Programinesira1Paslaugaproduk9">'[1]Forma 12'!$AD$54</definedName>
    <definedName name="SIS065_F_Reklamospaslau1Geriamojovande1">'[1]Forma 12'!$AA$145</definedName>
    <definedName name="SIS065_F_Reklamospaslau1Paslaugaproduk8">'[1]Forma 12'!$AB$145</definedName>
    <definedName name="SIS065_F_Reklamospaslau1Paslaugaproduk9">'[1]Forma 12'!$AD$145</definedName>
    <definedName name="SIS065_F_Reprezentacijo1Geriamojovande1">'[1]Forma 12'!$AA$151</definedName>
    <definedName name="SIS065_F_Reprezentacijo1Paslaugaproduk8">'[1]Forma 12'!$AB$151</definedName>
    <definedName name="SIS065_F_Reprezentacijo1Paslaugaproduk9">'[1]Forma 12'!$AD$151</definedName>
    <definedName name="SIS065_F_Rezerviniokuro1Geriamojovande1">'[1]Forma 12'!$AA$92</definedName>
    <definedName name="SIS065_F_Rezerviniokuro1Paslaugaproduk8">'[1]Forma 12'!$AB$92</definedName>
    <definedName name="SIS065_F_Rezerviniokuro1Paslaugaproduk9">'[1]Forma 12'!$AD$92</definedName>
    <definedName name="SIS065_F_Rinkostyrimusa1Geriamojovande1">'[1]Forma 12'!$AA$148</definedName>
    <definedName name="SIS065_F_Rinkostyrimusa1Paslaugaproduk8">'[1]Forma 12'!$AB$148</definedName>
    <definedName name="SIS065_F_Rinkostyrimusa1Paslaugaproduk9">'[1]Forma 12'!$AD$148</definedName>
    <definedName name="SIS065_F_Rysiupaslaugos1Geriamojovande1">'[1]Forma 12'!$AA$134</definedName>
    <definedName name="SIS065_F_Rysiupaslaugos1Paslaugaproduk8">'[1]Forma 12'!$AB$134</definedName>
    <definedName name="SIS065_F_Rysiupaslaugos1Paslaugaproduk9">'[1]Forma 12'!$AD$134</definedName>
    <definedName name="SIS065_F_Saskaituvartot1Geriamojovande1">'[1]Forma 12'!$AA$149</definedName>
    <definedName name="SIS065_F_Saskaituvartot1Paslaugaproduk8">'[1]Forma 12'!$AB$149</definedName>
    <definedName name="SIS065_F_Saskaituvartot1Paslaugaproduk9">'[1]Forma 12'!$AD$149</definedName>
    <definedName name="SIS065_F_Silumosisigiji2Geriamojovande1">'[1]Forma 12'!$AA$20</definedName>
    <definedName name="SIS065_F_Silumosisigiji2Paslaugaproduk8">'[1]Forma 12'!$AB$20</definedName>
    <definedName name="SIS065_F_Silumosisigiji2Paslaugaproduk9">'[1]Forma 12'!$AD$20</definedName>
    <definedName name="SIS065_F_Silumospunktue1Geriamojovande1">'[1]Forma 12'!$AA$81</definedName>
    <definedName name="SIS065_F_Silumospunktue1Paslaugaproduk8">'[1]Forma 12'!$AB$81</definedName>
    <definedName name="SIS065_F_Silumospunktue1Paslaugaproduk9">'[1]Forma 12'!$AD$81</definedName>
    <definedName name="SIS065_F_Silumosukiotur2Geriamojovande1">'[1]Forma 12'!$AA$156</definedName>
    <definedName name="SIS065_F_Silumosukiotur2Paslaugaproduk8">'[1]Forma 12'!$AB$156</definedName>
    <definedName name="SIS065_F_Silumosukiotur2Paslaugaproduk9">'[1]Forma 12'!$AD$156</definedName>
    <definedName name="SIS065_F_Skoluisieskoji1Geriamojovande1">'[1]Forma 12'!$AA$164</definedName>
    <definedName name="SIS065_F_Skoluisieskoji1Paslaugaproduk8">'[1]Forma 12'!$AB$164</definedName>
    <definedName name="SIS065_F_Skoluisieskoji1Paslaugaproduk9">'[1]Forma 12'!$AD$164</definedName>
    <definedName name="SIS065_F_Svietimoirkons1Geriamojovande1">'[1]Forma 12'!$AA$152</definedName>
    <definedName name="SIS065_F_Svietimoirkons1Paslaugaproduk8">'[1]Forma 12'!$AB$152</definedName>
    <definedName name="SIS065_F_Svietimoirkons1Paslaugaproduk9">'[1]Forma 12'!$AD$152</definedName>
    <definedName name="SIS065_F_Tantjemos1Geriamojovande1">'[1]Forma 12'!$AA$171</definedName>
    <definedName name="SIS065_F_Tantjemos1Paslaugaproduk8">'[1]Forma 12'!$AB$171</definedName>
    <definedName name="SIS065_F_Tantjemos1Paslaugaproduk9">'[1]Forma 12'!$AD$171</definedName>
    <definedName name="SIS065_F_Teisinespaslau1Geriamojovande1">'[1]Forma 12'!$AA$132</definedName>
    <definedName name="SIS065_F_Teisinespaslau1Paslaugaproduk8">'[1]Forma 12'!$AB$132</definedName>
    <definedName name="SIS065_F_Teisinespaslau1Paslaugaproduk9">'[1]Forma 12'!$AD$132</definedName>
    <definedName name="SIS065_F_Tinklueinamojo1Geriamojovande1">'[1]Forma 12'!$AA$80</definedName>
    <definedName name="SIS065_F_Tinklueinamojo1Paslaugaproduk8">'[1]Forma 12'!$AB$80</definedName>
    <definedName name="SIS065_F_Tinklueinamojo1Paslaugaproduk9">'[1]Forma 12'!$AD$80</definedName>
    <definedName name="SIS065_F_Transportoprie1Geriamojovande1">'[1]Forma 12'!$AA$74</definedName>
    <definedName name="SIS065_F_Transportoprie1Paslaugaproduk8">'[1]Forma 12'!$AB$74</definedName>
    <definedName name="SIS065_F_Transportoprie1Paslaugaproduk9">'[1]Forma 12'!$AD$74</definedName>
    <definedName name="SIS065_F_Transportoprie2Geriamojovande1">'[1]Forma 12'!$AA$96</definedName>
    <definedName name="SIS065_F_Transportoprie2Paslaugaproduk8">'[1]Forma 12'!$AB$96</definedName>
    <definedName name="SIS065_F_Transportoprie2Paslaugaproduk9">'[1]Forma 12'!$AD$96</definedName>
    <definedName name="SIS065_F_Transportoprie3Geriamojovande1">'[1]Forma 12'!$AA$97</definedName>
    <definedName name="SIS065_F_Transportoprie3Paslaugaproduk8">'[1]Forma 12'!$AB$97</definedName>
    <definedName name="SIS065_F_Transportoprie3Paslaugaproduk9">'[1]Forma 12'!$AD$97</definedName>
    <definedName name="SIS065_F_Turtodraudimos1Geriamojovande1">'[1]Forma 12'!$AA$159</definedName>
    <definedName name="SIS065_F_Turtodraudimos1Paslaugaproduk8">'[1]Forma 12'!$AB$159</definedName>
    <definedName name="SIS065_F_Turtodraudimos1Paslaugaproduk9">'[1]Forma 12'!$AD$159</definedName>
    <definedName name="SIS065_F_Turtonuomosnes1Geriamojovande1">'[1]Forma 12'!$AA$94</definedName>
    <definedName name="SIS065_F_Turtonuomosnes1Paslaugaproduk8">'[1]Forma 12'!$AB$94</definedName>
    <definedName name="SIS065_F_Turtonuomosnes1Paslaugaproduk9">'[1]Forma 12'!$AD$94</definedName>
    <definedName name="SIS065_F_Valstybiniuist1Geriamojovande1">'[1]Forma 12'!$AA$121</definedName>
    <definedName name="SIS065_F_Valstybiniuist1Paslaugaproduk8">'[1]Forma 12'!$AB$121</definedName>
    <definedName name="SIS065_F_Valstybiniuist1Paslaugaproduk9">'[1]Forma 12'!$AD$121</definedName>
    <definedName name="SIS065_F_Vandenstechnol2Geriamojovande1">'[1]Forma 12'!$AA$35</definedName>
    <definedName name="SIS065_F_Vandenstechnol2Paslaugaproduk8">'[1]Forma 12'!$AB$35</definedName>
    <definedName name="SIS065_F_Vandenstechnol2Paslaugaproduk9">'[1]Forma 12'!$AD$35</definedName>
    <definedName name="SIS065_F_Vartotojumokej1Geriamojovande1">'[1]Forma 12'!$AA$150</definedName>
    <definedName name="SIS065_F_Vartotojumokej1Paslaugaproduk8">'[1]Forma 12'!$AB$150</definedName>
    <definedName name="SIS065_F_Vartotojumokej1Paslaugaproduk9">'[1]Forma 12'!$AD$150</definedName>
    <definedName name="SIS065_F_Veiklosrizikos1Geriamojovande1">'[1]Forma 12'!$AA$160</definedName>
    <definedName name="SIS065_F_Veiklosrizikos1Paslaugaproduk8">'[1]Forma 12'!$AB$160</definedName>
    <definedName name="SIS065_F_Veiklosrizikos1Paslaugaproduk9">'[1]Forma 12'!$AD$160</definedName>
    <definedName name="SIS065_F_Zemesmokescios1Geriamojovande1">'[1]Forma 12'!$AA$118</definedName>
    <definedName name="SIS065_F_Zemesmokescios1Paslaugaproduk8">'[1]Forma 12'!$AB$118</definedName>
    <definedName name="SIS065_F_Zemesmokescios1Paslaugaproduk9">'[1]Forma 12'!$AD$118</definedName>
    <definedName name="SIS065_F_Zyminiomokesci1Geriamojovande1">'[1]Forma 12'!$AA$122</definedName>
    <definedName name="SIS065_F_Zyminiomokesci1Paslaugaproduk8">'[1]Forma 12'!$AB$122</definedName>
    <definedName name="SIS065_F_Zyminiomokesci1Paslaugaproduk9">'[1]Forma 12'!$AD$122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3" i="1" l="1"/>
  <c r="AC173" i="1"/>
  <c r="AB173" i="1"/>
  <c r="AA173" i="1"/>
  <c r="Z173" i="1"/>
  <c r="Y173" i="1"/>
  <c r="Y158" i="1" s="1"/>
  <c r="X173" i="1"/>
  <c r="W173" i="1"/>
  <c r="V173" i="1"/>
  <c r="U173" i="1"/>
  <c r="U158" i="1" s="1"/>
  <c r="T173" i="1"/>
  <c r="S173" i="1"/>
  <c r="R173" i="1"/>
  <c r="Q173" i="1"/>
  <c r="P173" i="1"/>
  <c r="O173" i="1"/>
  <c r="N173" i="1"/>
  <c r="M173" i="1"/>
  <c r="L173" i="1"/>
  <c r="K173" i="1"/>
  <c r="J173" i="1"/>
  <c r="I173" i="1"/>
  <c r="G173" i="1" s="1"/>
  <c r="H173" i="1"/>
  <c r="C173" i="1"/>
  <c r="AD172" i="1"/>
  <c r="AD158" i="1" s="1"/>
  <c r="AC172" i="1"/>
  <c r="AB172" i="1"/>
  <c r="AA172" i="1"/>
  <c r="Z172" i="1"/>
  <c r="Z158" i="1" s="1"/>
  <c r="Y172" i="1"/>
  <c r="X172" i="1"/>
  <c r="W172" i="1"/>
  <c r="V172" i="1"/>
  <c r="V158" i="1" s="1"/>
  <c r="U172" i="1"/>
  <c r="T172" i="1"/>
  <c r="S172" i="1"/>
  <c r="R172" i="1"/>
  <c r="R158" i="1" s="1"/>
  <c r="Q172" i="1"/>
  <c r="P172" i="1"/>
  <c r="O172" i="1"/>
  <c r="N172" i="1"/>
  <c r="N158" i="1" s="1"/>
  <c r="M172" i="1"/>
  <c r="L172" i="1"/>
  <c r="K172" i="1"/>
  <c r="J172" i="1"/>
  <c r="I172" i="1"/>
  <c r="H172" i="1"/>
  <c r="C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AD159" i="1"/>
  <c r="AC159" i="1"/>
  <c r="AB159" i="1"/>
  <c r="AB158" i="1" s="1"/>
  <c r="AA159" i="1"/>
  <c r="AA158" i="1" s="1"/>
  <c r="Z159" i="1"/>
  <c r="Y159" i="1"/>
  <c r="X159" i="1"/>
  <c r="X158" i="1" s="1"/>
  <c r="W159" i="1"/>
  <c r="W158" i="1" s="1"/>
  <c r="V159" i="1"/>
  <c r="U159" i="1"/>
  <c r="T159" i="1"/>
  <c r="T158" i="1" s="1"/>
  <c r="S159" i="1"/>
  <c r="S158" i="1" s="1"/>
  <c r="R159" i="1"/>
  <c r="Q159" i="1"/>
  <c r="P159" i="1"/>
  <c r="P158" i="1" s="1"/>
  <c r="O159" i="1"/>
  <c r="O158" i="1" s="1"/>
  <c r="N159" i="1"/>
  <c r="M159" i="1"/>
  <c r="L159" i="1"/>
  <c r="L158" i="1" s="1"/>
  <c r="K159" i="1"/>
  <c r="K158" i="1" s="1"/>
  <c r="J159" i="1"/>
  <c r="I159" i="1"/>
  <c r="H159" i="1"/>
  <c r="H158" i="1" s="1"/>
  <c r="G159" i="1"/>
  <c r="EZ158" i="1"/>
  <c r="EY158" i="1"/>
  <c r="EX158" i="1"/>
  <c r="EW158" i="1"/>
  <c r="EV158" i="1"/>
  <c r="EU158" i="1"/>
  <c r="ET158" i="1"/>
  <c r="ES158" i="1"/>
  <c r="ER158" i="1"/>
  <c r="EQ158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C158" i="1"/>
  <c r="Q158" i="1"/>
  <c r="M158" i="1"/>
  <c r="AD157" i="1"/>
  <c r="AC157" i="1"/>
  <c r="AC155" i="1" s="1"/>
  <c r="AB157" i="1"/>
  <c r="AA157" i="1"/>
  <c r="Z157" i="1"/>
  <c r="Y157" i="1"/>
  <c r="Y155" i="1" s="1"/>
  <c r="X157" i="1"/>
  <c r="W157" i="1"/>
  <c r="V157" i="1"/>
  <c r="U157" i="1"/>
  <c r="U155" i="1" s="1"/>
  <c r="T157" i="1"/>
  <c r="S157" i="1"/>
  <c r="R157" i="1"/>
  <c r="Q157" i="1"/>
  <c r="Q155" i="1" s="1"/>
  <c r="P157" i="1"/>
  <c r="O157" i="1"/>
  <c r="N157" i="1"/>
  <c r="M157" i="1"/>
  <c r="M155" i="1" s="1"/>
  <c r="L157" i="1"/>
  <c r="K157" i="1"/>
  <c r="J157" i="1"/>
  <c r="I157" i="1"/>
  <c r="H157" i="1"/>
  <c r="C157" i="1"/>
  <c r="AD156" i="1"/>
  <c r="AD155" i="1" s="1"/>
  <c r="AC156" i="1"/>
  <c r="AB156" i="1"/>
  <c r="AA156" i="1"/>
  <c r="AA155" i="1" s="1"/>
  <c r="Z156" i="1"/>
  <c r="Z155" i="1" s="1"/>
  <c r="Y156" i="1"/>
  <c r="X156" i="1"/>
  <c r="W156" i="1"/>
  <c r="W155" i="1" s="1"/>
  <c r="V156" i="1"/>
  <c r="V155" i="1" s="1"/>
  <c r="U156" i="1"/>
  <c r="T156" i="1"/>
  <c r="S156" i="1"/>
  <c r="S155" i="1" s="1"/>
  <c r="R156" i="1"/>
  <c r="R155" i="1" s="1"/>
  <c r="Q156" i="1"/>
  <c r="P156" i="1"/>
  <c r="O156" i="1"/>
  <c r="O155" i="1" s="1"/>
  <c r="N156" i="1"/>
  <c r="N155" i="1" s="1"/>
  <c r="M156" i="1"/>
  <c r="L156" i="1"/>
  <c r="K156" i="1"/>
  <c r="K155" i="1" s="1"/>
  <c r="J156" i="1"/>
  <c r="I156" i="1"/>
  <c r="H156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B155" i="1"/>
  <c r="X155" i="1"/>
  <c r="T155" i="1"/>
  <c r="P155" i="1"/>
  <c r="L155" i="1"/>
  <c r="H155" i="1"/>
  <c r="AD154" i="1"/>
  <c r="AC154" i="1"/>
  <c r="AB154" i="1"/>
  <c r="AA154" i="1"/>
  <c r="Z154" i="1"/>
  <c r="Y154" i="1"/>
  <c r="X154" i="1"/>
  <c r="W154" i="1"/>
  <c r="V154" i="1"/>
  <c r="U154" i="1"/>
  <c r="T154" i="1"/>
  <c r="T144" i="1" s="1"/>
  <c r="S154" i="1"/>
  <c r="R154" i="1"/>
  <c r="Q154" i="1"/>
  <c r="P154" i="1"/>
  <c r="P144" i="1" s="1"/>
  <c r="O154" i="1"/>
  <c r="N154" i="1"/>
  <c r="M154" i="1"/>
  <c r="L154" i="1"/>
  <c r="K154" i="1"/>
  <c r="J154" i="1"/>
  <c r="I154" i="1"/>
  <c r="H154" i="1"/>
  <c r="G154" i="1" s="1"/>
  <c r="C154" i="1"/>
  <c r="AD153" i="1"/>
  <c r="AC153" i="1"/>
  <c r="AC144" i="1" s="1"/>
  <c r="AB153" i="1"/>
  <c r="AA153" i="1"/>
  <c r="Z153" i="1"/>
  <c r="Y153" i="1"/>
  <c r="Y144" i="1" s="1"/>
  <c r="X153" i="1"/>
  <c r="W153" i="1"/>
  <c r="V153" i="1"/>
  <c r="U153" i="1"/>
  <c r="U144" i="1" s="1"/>
  <c r="T153" i="1"/>
  <c r="S153" i="1"/>
  <c r="R153" i="1"/>
  <c r="Q153" i="1"/>
  <c r="Q144" i="1" s="1"/>
  <c r="P153" i="1"/>
  <c r="O153" i="1"/>
  <c r="N153" i="1"/>
  <c r="M153" i="1"/>
  <c r="M144" i="1" s="1"/>
  <c r="L153" i="1"/>
  <c r="K153" i="1"/>
  <c r="J153" i="1"/>
  <c r="I153" i="1"/>
  <c r="H153" i="1"/>
  <c r="C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G152" i="1" s="1"/>
  <c r="I152" i="1"/>
  <c r="H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G151" i="1" s="1"/>
  <c r="I151" i="1"/>
  <c r="H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G150" i="1" s="1"/>
  <c r="I150" i="1"/>
  <c r="H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G149" i="1" s="1"/>
  <c r="I149" i="1"/>
  <c r="H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G148" i="1" s="1"/>
  <c r="I148" i="1"/>
  <c r="H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G147" i="1" s="1"/>
  <c r="I147" i="1"/>
  <c r="H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G146" i="1" s="1"/>
  <c r="I146" i="1"/>
  <c r="H146" i="1"/>
  <c r="AD145" i="1"/>
  <c r="AC145" i="1"/>
  <c r="AB145" i="1"/>
  <c r="AA145" i="1"/>
  <c r="AA144" i="1" s="1"/>
  <c r="Z145" i="1"/>
  <c r="Y145" i="1"/>
  <c r="X145" i="1"/>
  <c r="W145" i="1"/>
  <c r="W144" i="1" s="1"/>
  <c r="V145" i="1"/>
  <c r="U145" i="1"/>
  <c r="T145" i="1"/>
  <c r="S145" i="1"/>
  <c r="S144" i="1" s="1"/>
  <c r="R145" i="1"/>
  <c r="Q145" i="1"/>
  <c r="P145" i="1"/>
  <c r="O145" i="1"/>
  <c r="O144" i="1" s="1"/>
  <c r="N145" i="1"/>
  <c r="M145" i="1"/>
  <c r="L145" i="1"/>
  <c r="K145" i="1"/>
  <c r="K144" i="1" s="1"/>
  <c r="J145" i="1"/>
  <c r="I145" i="1"/>
  <c r="H145" i="1"/>
  <c r="EZ144" i="1"/>
  <c r="EY144" i="1"/>
  <c r="EX144" i="1"/>
  <c r="EW144" i="1"/>
  <c r="EV144" i="1"/>
  <c r="EU144" i="1"/>
  <c r="ET144" i="1"/>
  <c r="ES144" i="1"/>
  <c r="ER144" i="1"/>
  <c r="EQ144" i="1"/>
  <c r="EP144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B144" i="1"/>
  <c r="X144" i="1"/>
  <c r="L144" i="1"/>
  <c r="H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 s="1"/>
  <c r="C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G142" i="1" s="1"/>
  <c r="H142" i="1"/>
  <c r="C142" i="1"/>
  <c r="AD141" i="1"/>
  <c r="AD131" i="1" s="1"/>
  <c r="AC141" i="1"/>
  <c r="AB141" i="1"/>
  <c r="AA141" i="1"/>
  <c r="Z141" i="1"/>
  <c r="Z131" i="1" s="1"/>
  <c r="Y141" i="1"/>
  <c r="X141" i="1"/>
  <c r="W141" i="1"/>
  <c r="V141" i="1"/>
  <c r="V131" i="1" s="1"/>
  <c r="U141" i="1"/>
  <c r="T141" i="1"/>
  <c r="S141" i="1"/>
  <c r="R141" i="1"/>
  <c r="R131" i="1" s="1"/>
  <c r="Q141" i="1"/>
  <c r="P141" i="1"/>
  <c r="O141" i="1"/>
  <c r="N141" i="1"/>
  <c r="N131" i="1" s="1"/>
  <c r="M141" i="1"/>
  <c r="L141" i="1"/>
  <c r="K141" i="1"/>
  <c r="J141" i="1"/>
  <c r="I141" i="1"/>
  <c r="H141" i="1"/>
  <c r="C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D132" i="1"/>
  <c r="AC132" i="1"/>
  <c r="AB132" i="1"/>
  <c r="AB131" i="1" s="1"/>
  <c r="AA132" i="1"/>
  <c r="Z132" i="1"/>
  <c r="Y132" i="1"/>
  <c r="Y131" i="1" s="1"/>
  <c r="X132" i="1"/>
  <c r="X131" i="1" s="1"/>
  <c r="W132" i="1"/>
  <c r="W131" i="1" s="1"/>
  <c r="V132" i="1"/>
  <c r="U132" i="1"/>
  <c r="T132" i="1"/>
  <c r="T131" i="1" s="1"/>
  <c r="S132" i="1"/>
  <c r="S131" i="1" s="1"/>
  <c r="R132" i="1"/>
  <c r="Q132" i="1"/>
  <c r="Q131" i="1" s="1"/>
  <c r="P132" i="1"/>
  <c r="P131" i="1" s="1"/>
  <c r="O132" i="1"/>
  <c r="O131" i="1" s="1"/>
  <c r="N132" i="1"/>
  <c r="M132" i="1"/>
  <c r="L132" i="1"/>
  <c r="L131" i="1" s="1"/>
  <c r="K132" i="1"/>
  <c r="J132" i="1"/>
  <c r="I132" i="1"/>
  <c r="I131" i="1" s="1"/>
  <c r="H132" i="1"/>
  <c r="H131" i="1" s="1"/>
  <c r="G132" i="1"/>
  <c r="EZ131" i="1"/>
  <c r="EY131" i="1"/>
  <c r="EX131" i="1"/>
  <c r="EW131" i="1"/>
  <c r="EV131" i="1"/>
  <c r="EU131" i="1"/>
  <c r="ET131" i="1"/>
  <c r="ES131" i="1"/>
  <c r="ER131" i="1"/>
  <c r="EQ131" i="1"/>
  <c r="EP131" i="1"/>
  <c r="EO131" i="1"/>
  <c r="EN131" i="1"/>
  <c r="EM131" i="1"/>
  <c r="EL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C131" i="1"/>
  <c r="AA131" i="1"/>
  <c r="U131" i="1"/>
  <c r="M131" i="1"/>
  <c r="K131" i="1"/>
  <c r="AD130" i="1"/>
  <c r="AC130" i="1"/>
  <c r="AC125" i="1" s="1"/>
  <c r="AB130" i="1"/>
  <c r="AA130" i="1"/>
  <c r="Z130" i="1"/>
  <c r="Y130" i="1"/>
  <c r="X130" i="1"/>
  <c r="W130" i="1"/>
  <c r="V130" i="1"/>
  <c r="U130" i="1"/>
  <c r="U125" i="1" s="1"/>
  <c r="T130" i="1"/>
  <c r="S130" i="1"/>
  <c r="R130" i="1"/>
  <c r="Q130" i="1"/>
  <c r="P130" i="1"/>
  <c r="O130" i="1"/>
  <c r="N130" i="1"/>
  <c r="M130" i="1"/>
  <c r="M125" i="1" s="1"/>
  <c r="L130" i="1"/>
  <c r="K130" i="1"/>
  <c r="J130" i="1"/>
  <c r="I130" i="1"/>
  <c r="G130" i="1" s="1"/>
  <c r="H130" i="1"/>
  <c r="C130" i="1"/>
  <c r="AD129" i="1"/>
  <c r="AD125" i="1" s="1"/>
  <c r="AC129" i="1"/>
  <c r="AB129" i="1"/>
  <c r="AA129" i="1"/>
  <c r="Z129" i="1"/>
  <c r="Z125" i="1" s="1"/>
  <c r="Y129" i="1"/>
  <c r="X129" i="1"/>
  <c r="W129" i="1"/>
  <c r="V129" i="1"/>
  <c r="V125" i="1" s="1"/>
  <c r="U129" i="1"/>
  <c r="T129" i="1"/>
  <c r="S129" i="1"/>
  <c r="R129" i="1"/>
  <c r="R125" i="1" s="1"/>
  <c r="Q129" i="1"/>
  <c r="P129" i="1"/>
  <c r="O129" i="1"/>
  <c r="N129" i="1"/>
  <c r="N125" i="1" s="1"/>
  <c r="M129" i="1"/>
  <c r="L129" i="1"/>
  <c r="K129" i="1"/>
  <c r="J129" i="1"/>
  <c r="J125" i="1" s="1"/>
  <c r="I129" i="1"/>
  <c r="H129" i="1"/>
  <c r="C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AD126" i="1"/>
  <c r="AC126" i="1"/>
  <c r="AB126" i="1"/>
  <c r="AB125" i="1" s="1"/>
  <c r="AA126" i="1"/>
  <c r="Z126" i="1"/>
  <c r="Y126" i="1"/>
  <c r="X126" i="1"/>
  <c r="X125" i="1" s="1"/>
  <c r="W126" i="1"/>
  <c r="W125" i="1" s="1"/>
  <c r="V126" i="1"/>
  <c r="U126" i="1"/>
  <c r="T126" i="1"/>
  <c r="T125" i="1" s="1"/>
  <c r="S126" i="1"/>
  <c r="R126" i="1"/>
  <c r="Q126" i="1"/>
  <c r="P126" i="1"/>
  <c r="P125" i="1" s="1"/>
  <c r="O126" i="1"/>
  <c r="O125" i="1" s="1"/>
  <c r="N126" i="1"/>
  <c r="M126" i="1"/>
  <c r="L126" i="1"/>
  <c r="L125" i="1" s="1"/>
  <c r="K126" i="1"/>
  <c r="J126" i="1"/>
  <c r="I126" i="1"/>
  <c r="H126" i="1"/>
  <c r="H125" i="1" s="1"/>
  <c r="G126" i="1"/>
  <c r="EZ125" i="1"/>
  <c r="EY125" i="1"/>
  <c r="EX125" i="1"/>
  <c r="EW125" i="1"/>
  <c r="EV125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A125" i="1"/>
  <c r="Y125" i="1"/>
  <c r="S125" i="1"/>
  <c r="Q125" i="1"/>
  <c r="K125" i="1"/>
  <c r="I125" i="1"/>
  <c r="AD124" i="1"/>
  <c r="AC124" i="1"/>
  <c r="AB124" i="1"/>
  <c r="AA124" i="1"/>
  <c r="Z124" i="1"/>
  <c r="Y124" i="1"/>
  <c r="X124" i="1"/>
  <c r="W124" i="1"/>
  <c r="V124" i="1"/>
  <c r="U124" i="1"/>
  <c r="U117" i="1" s="1"/>
  <c r="T124" i="1"/>
  <c r="S124" i="1"/>
  <c r="R124" i="1"/>
  <c r="Q124" i="1"/>
  <c r="Q117" i="1" s="1"/>
  <c r="P124" i="1"/>
  <c r="O124" i="1"/>
  <c r="N124" i="1"/>
  <c r="M124" i="1"/>
  <c r="L124" i="1"/>
  <c r="K124" i="1"/>
  <c r="J124" i="1"/>
  <c r="I124" i="1"/>
  <c r="G124" i="1" s="1"/>
  <c r="H124" i="1"/>
  <c r="C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 s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 s="1"/>
  <c r="AD120" i="1"/>
  <c r="AD117" i="1" s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N117" i="1" s="1"/>
  <c r="M120" i="1"/>
  <c r="L120" i="1"/>
  <c r="K120" i="1"/>
  <c r="J120" i="1"/>
  <c r="I120" i="1"/>
  <c r="H120" i="1"/>
  <c r="AD119" i="1"/>
  <c r="AC119" i="1"/>
  <c r="AB119" i="1"/>
  <c r="AA119" i="1"/>
  <c r="Z119" i="1"/>
  <c r="Z117" i="1" s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J117" i="1" s="1"/>
  <c r="I119" i="1"/>
  <c r="H119" i="1"/>
  <c r="AD118" i="1"/>
  <c r="AC118" i="1"/>
  <c r="AB118" i="1"/>
  <c r="AB117" i="1" s="1"/>
  <c r="AA118" i="1"/>
  <c r="AA117" i="1" s="1"/>
  <c r="Z118" i="1"/>
  <c r="Y118" i="1"/>
  <c r="X118" i="1"/>
  <c r="X117" i="1" s="1"/>
  <c r="W118" i="1"/>
  <c r="W117" i="1" s="1"/>
  <c r="V118" i="1"/>
  <c r="V117" i="1" s="1"/>
  <c r="U118" i="1"/>
  <c r="T118" i="1"/>
  <c r="T117" i="1" s="1"/>
  <c r="S118" i="1"/>
  <c r="S117" i="1" s="1"/>
  <c r="R118" i="1"/>
  <c r="Q118" i="1"/>
  <c r="P118" i="1"/>
  <c r="P117" i="1" s="1"/>
  <c r="O118" i="1"/>
  <c r="O117" i="1" s="1"/>
  <c r="N118" i="1"/>
  <c r="M118" i="1"/>
  <c r="L118" i="1"/>
  <c r="L117" i="1" s="1"/>
  <c r="K118" i="1"/>
  <c r="K117" i="1" s="1"/>
  <c r="J118" i="1"/>
  <c r="I118" i="1"/>
  <c r="H118" i="1"/>
  <c r="G118" i="1" s="1"/>
  <c r="EZ117" i="1"/>
  <c r="EY117" i="1"/>
  <c r="EX117" i="1"/>
  <c r="EW117" i="1"/>
  <c r="EV117" i="1"/>
  <c r="EU117" i="1"/>
  <c r="ET117" i="1"/>
  <c r="ES117" i="1"/>
  <c r="ER117" i="1"/>
  <c r="EQ117" i="1"/>
  <c r="EP117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Y117" i="1"/>
  <c r="DX117" i="1"/>
  <c r="DW117" i="1"/>
  <c r="DV117" i="1"/>
  <c r="DU117" i="1"/>
  <c r="DT117" i="1"/>
  <c r="DS117" i="1"/>
  <c r="DR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C117" i="1"/>
  <c r="Y117" i="1"/>
  <c r="R117" i="1"/>
  <c r="M117" i="1"/>
  <c r="I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 s="1"/>
  <c r="C116" i="1"/>
  <c r="AD115" i="1"/>
  <c r="AC115" i="1"/>
  <c r="AB115" i="1"/>
  <c r="AA115" i="1"/>
  <c r="AA105" i="1" s="1"/>
  <c r="Z115" i="1"/>
  <c r="Y115" i="1"/>
  <c r="X115" i="1"/>
  <c r="W115" i="1"/>
  <c r="W105" i="1" s="1"/>
  <c r="V115" i="1"/>
  <c r="U115" i="1"/>
  <c r="T115" i="1"/>
  <c r="S115" i="1"/>
  <c r="S105" i="1" s="1"/>
  <c r="R115" i="1"/>
  <c r="Q115" i="1"/>
  <c r="P115" i="1"/>
  <c r="O115" i="1"/>
  <c r="O105" i="1" s="1"/>
  <c r="N115" i="1"/>
  <c r="M115" i="1"/>
  <c r="L115" i="1"/>
  <c r="K115" i="1"/>
  <c r="K105" i="1" s="1"/>
  <c r="J115" i="1"/>
  <c r="I115" i="1"/>
  <c r="H115" i="1"/>
  <c r="G115" i="1"/>
  <c r="C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 s="1"/>
  <c r="C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G113" i="1" s="1"/>
  <c r="H113" i="1"/>
  <c r="C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 s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 s="1"/>
  <c r="AD108" i="1"/>
  <c r="AD105" i="1" s="1"/>
  <c r="AC108" i="1"/>
  <c r="AB108" i="1"/>
  <c r="AA108" i="1"/>
  <c r="Z108" i="1"/>
  <c r="Z105" i="1" s="1"/>
  <c r="Y108" i="1"/>
  <c r="X108" i="1"/>
  <c r="W108" i="1"/>
  <c r="V108" i="1"/>
  <c r="V105" i="1" s="1"/>
  <c r="U108" i="1"/>
  <c r="T108" i="1"/>
  <c r="S108" i="1"/>
  <c r="R108" i="1"/>
  <c r="R105" i="1" s="1"/>
  <c r="Q108" i="1"/>
  <c r="P108" i="1"/>
  <c r="O108" i="1"/>
  <c r="N108" i="1"/>
  <c r="N105" i="1" s="1"/>
  <c r="M108" i="1"/>
  <c r="L108" i="1"/>
  <c r="K108" i="1"/>
  <c r="J108" i="1"/>
  <c r="J105" i="1" s="1"/>
  <c r="I108" i="1"/>
  <c r="H108" i="1"/>
  <c r="AD107" i="1"/>
  <c r="AC107" i="1"/>
  <c r="AC105" i="1" s="1"/>
  <c r="AB107" i="1"/>
  <c r="AA107" i="1"/>
  <c r="Z107" i="1"/>
  <c r="Y107" i="1"/>
  <c r="Y105" i="1" s="1"/>
  <c r="X107" i="1"/>
  <c r="W107" i="1"/>
  <c r="V107" i="1"/>
  <c r="U107" i="1"/>
  <c r="U105" i="1" s="1"/>
  <c r="T107" i="1"/>
  <c r="S107" i="1"/>
  <c r="R107" i="1"/>
  <c r="Q107" i="1"/>
  <c r="Q105" i="1" s="1"/>
  <c r="P107" i="1"/>
  <c r="O107" i="1"/>
  <c r="N107" i="1"/>
  <c r="M107" i="1"/>
  <c r="M105" i="1" s="1"/>
  <c r="L107" i="1"/>
  <c r="K107" i="1"/>
  <c r="J107" i="1"/>
  <c r="I107" i="1"/>
  <c r="H107" i="1"/>
  <c r="AD106" i="1"/>
  <c r="AC106" i="1"/>
  <c r="AB106" i="1"/>
  <c r="AB105" i="1" s="1"/>
  <c r="AA106" i="1"/>
  <c r="Z106" i="1"/>
  <c r="Y106" i="1"/>
  <c r="X106" i="1"/>
  <c r="X105" i="1" s="1"/>
  <c r="W106" i="1"/>
  <c r="V106" i="1"/>
  <c r="U106" i="1"/>
  <c r="T106" i="1"/>
  <c r="T105" i="1" s="1"/>
  <c r="S106" i="1"/>
  <c r="R106" i="1"/>
  <c r="Q106" i="1"/>
  <c r="P106" i="1"/>
  <c r="P105" i="1" s="1"/>
  <c r="O106" i="1"/>
  <c r="N106" i="1"/>
  <c r="M106" i="1"/>
  <c r="L106" i="1"/>
  <c r="L105" i="1" s="1"/>
  <c r="K106" i="1"/>
  <c r="J106" i="1"/>
  <c r="I106" i="1"/>
  <c r="H106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I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G104" i="1" s="1"/>
  <c r="H104" i="1"/>
  <c r="C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G103" i="1" s="1"/>
  <c r="I103" i="1"/>
  <c r="H103" i="1"/>
  <c r="C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C102" i="1"/>
  <c r="AD101" i="1"/>
  <c r="AC101" i="1"/>
  <c r="AB101" i="1"/>
  <c r="AB78" i="1" s="1"/>
  <c r="AA101" i="1"/>
  <c r="Z101" i="1"/>
  <c r="Y101" i="1"/>
  <c r="X101" i="1"/>
  <c r="X78" i="1" s="1"/>
  <c r="W101" i="1"/>
  <c r="V101" i="1"/>
  <c r="U101" i="1"/>
  <c r="T101" i="1"/>
  <c r="T78" i="1" s="1"/>
  <c r="S101" i="1"/>
  <c r="R101" i="1"/>
  <c r="Q101" i="1"/>
  <c r="P101" i="1"/>
  <c r="P78" i="1" s="1"/>
  <c r="O101" i="1"/>
  <c r="N101" i="1"/>
  <c r="M101" i="1"/>
  <c r="L101" i="1"/>
  <c r="L78" i="1" s="1"/>
  <c r="K101" i="1"/>
  <c r="J101" i="1"/>
  <c r="I101" i="1"/>
  <c r="H101" i="1"/>
  <c r="C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G100" i="1" s="1"/>
  <c r="H100" i="1"/>
  <c r="C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AD79" i="1"/>
  <c r="AD78" i="1" s="1"/>
  <c r="AC79" i="1"/>
  <c r="AB79" i="1"/>
  <c r="AA79" i="1"/>
  <c r="Z79" i="1"/>
  <c r="Z78" i="1" s="1"/>
  <c r="Y79" i="1"/>
  <c r="X79" i="1"/>
  <c r="W79" i="1"/>
  <c r="V79" i="1"/>
  <c r="V78" i="1" s="1"/>
  <c r="U79" i="1"/>
  <c r="T79" i="1"/>
  <c r="S79" i="1"/>
  <c r="R79" i="1"/>
  <c r="R78" i="1" s="1"/>
  <c r="Q79" i="1"/>
  <c r="P79" i="1"/>
  <c r="O79" i="1"/>
  <c r="N79" i="1"/>
  <c r="N78" i="1" s="1"/>
  <c r="M79" i="1"/>
  <c r="L79" i="1"/>
  <c r="K79" i="1"/>
  <c r="J79" i="1"/>
  <c r="J78" i="1" s="1"/>
  <c r="I79" i="1"/>
  <c r="H79" i="1"/>
  <c r="EZ78" i="1"/>
  <c r="EY78" i="1"/>
  <c r="EX78" i="1"/>
  <c r="EW78" i="1"/>
  <c r="EV78" i="1"/>
  <c r="EU78" i="1"/>
  <c r="ET78" i="1"/>
  <c r="ES78" i="1"/>
  <c r="ER78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C78" i="1"/>
  <c r="Y78" i="1"/>
  <c r="U78" i="1"/>
  <c r="Q78" i="1"/>
  <c r="M78" i="1"/>
  <c r="I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 s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 s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 s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 s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 s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 s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AD53" i="1"/>
  <c r="AC53" i="1"/>
  <c r="AB53" i="1"/>
  <c r="AA53" i="1"/>
  <c r="Z53" i="1"/>
  <c r="Z50" i="1" s="1"/>
  <c r="Y53" i="1"/>
  <c r="X53" i="1"/>
  <c r="W53" i="1"/>
  <c r="V53" i="1"/>
  <c r="V50" i="1" s="1"/>
  <c r="U53" i="1"/>
  <c r="T53" i="1"/>
  <c r="S53" i="1"/>
  <c r="R53" i="1"/>
  <c r="R50" i="1" s="1"/>
  <c r="Q53" i="1"/>
  <c r="P53" i="1"/>
  <c r="O53" i="1"/>
  <c r="N53" i="1"/>
  <c r="M53" i="1"/>
  <c r="L53" i="1"/>
  <c r="K53" i="1"/>
  <c r="J53" i="1"/>
  <c r="J50" i="1" s="1"/>
  <c r="I53" i="1"/>
  <c r="H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D51" i="1"/>
  <c r="AC51" i="1"/>
  <c r="AB51" i="1"/>
  <c r="AB50" i="1" s="1"/>
  <c r="AA51" i="1"/>
  <c r="Z51" i="1"/>
  <c r="Y51" i="1"/>
  <c r="X51" i="1"/>
  <c r="X50" i="1" s="1"/>
  <c r="W51" i="1"/>
  <c r="V51" i="1"/>
  <c r="U51" i="1"/>
  <c r="T51" i="1"/>
  <c r="T50" i="1" s="1"/>
  <c r="S51" i="1"/>
  <c r="R51" i="1"/>
  <c r="Q51" i="1"/>
  <c r="P51" i="1"/>
  <c r="P50" i="1" s="1"/>
  <c r="O51" i="1"/>
  <c r="N51" i="1"/>
  <c r="M51" i="1"/>
  <c r="L51" i="1"/>
  <c r="K51" i="1"/>
  <c r="J51" i="1"/>
  <c r="I51" i="1"/>
  <c r="H51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A50" i="1"/>
  <c r="W50" i="1"/>
  <c r="S50" i="1"/>
  <c r="O50" i="1"/>
  <c r="L50" i="1"/>
  <c r="K50" i="1"/>
  <c r="AD49" i="1"/>
  <c r="AC49" i="1"/>
  <c r="AB49" i="1"/>
  <c r="AA49" i="1"/>
  <c r="AA42" i="1" s="1"/>
  <c r="Z49" i="1"/>
  <c r="Y49" i="1"/>
  <c r="X49" i="1"/>
  <c r="W49" i="1"/>
  <c r="W42" i="1" s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C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O42" i="1" s="1"/>
  <c r="N48" i="1"/>
  <c r="M48" i="1"/>
  <c r="L48" i="1"/>
  <c r="K48" i="1"/>
  <c r="K42" i="1" s="1"/>
  <c r="J48" i="1"/>
  <c r="I48" i="1"/>
  <c r="H48" i="1"/>
  <c r="G48" i="1" s="1"/>
  <c r="C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 s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D44" i="1"/>
  <c r="AC44" i="1"/>
  <c r="AB44" i="1"/>
  <c r="AA44" i="1"/>
  <c r="Z44" i="1"/>
  <c r="Z42" i="1" s="1"/>
  <c r="Y44" i="1"/>
  <c r="X44" i="1"/>
  <c r="W44" i="1"/>
  <c r="V44" i="1"/>
  <c r="V42" i="1" s="1"/>
  <c r="U44" i="1"/>
  <c r="T44" i="1"/>
  <c r="S44" i="1"/>
  <c r="R44" i="1"/>
  <c r="R42" i="1" s="1"/>
  <c r="Q44" i="1"/>
  <c r="P44" i="1"/>
  <c r="O44" i="1"/>
  <c r="N44" i="1"/>
  <c r="M44" i="1"/>
  <c r="L44" i="1"/>
  <c r="K44" i="1"/>
  <c r="J44" i="1"/>
  <c r="I44" i="1"/>
  <c r="H44" i="1"/>
  <c r="AD43" i="1"/>
  <c r="AC43" i="1"/>
  <c r="AC42" i="1" s="1"/>
  <c r="AB43" i="1"/>
  <c r="AA43" i="1"/>
  <c r="Z43" i="1"/>
  <c r="Y43" i="1"/>
  <c r="Y42" i="1" s="1"/>
  <c r="X43" i="1"/>
  <c r="W43" i="1"/>
  <c r="V43" i="1"/>
  <c r="U43" i="1"/>
  <c r="U42" i="1" s="1"/>
  <c r="T43" i="1"/>
  <c r="T42" i="1" s="1"/>
  <c r="S43" i="1"/>
  <c r="R43" i="1"/>
  <c r="Q43" i="1"/>
  <c r="Q42" i="1" s="1"/>
  <c r="P43" i="1"/>
  <c r="P42" i="1" s="1"/>
  <c r="O43" i="1"/>
  <c r="N43" i="1"/>
  <c r="M43" i="1"/>
  <c r="M42" i="1" s="1"/>
  <c r="L43" i="1"/>
  <c r="L42" i="1" s="1"/>
  <c r="K43" i="1"/>
  <c r="J43" i="1"/>
  <c r="I43" i="1"/>
  <c r="I42" i="1" s="1"/>
  <c r="H43" i="1"/>
  <c r="H42" i="1" s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X42" i="1"/>
  <c r="S42" i="1"/>
  <c r="N42" i="1"/>
  <c r="J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 s="1"/>
  <c r="C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C40" i="1"/>
  <c r="AD39" i="1"/>
  <c r="AC39" i="1"/>
  <c r="AB39" i="1"/>
  <c r="AB38" i="1" s="1"/>
  <c r="AA39" i="1"/>
  <c r="AA38" i="1" s="1"/>
  <c r="Z39" i="1"/>
  <c r="Y39" i="1"/>
  <c r="X39" i="1"/>
  <c r="X38" i="1" s="1"/>
  <c r="W39" i="1"/>
  <c r="W38" i="1" s="1"/>
  <c r="V39" i="1"/>
  <c r="U39" i="1"/>
  <c r="T39" i="1"/>
  <c r="T38" i="1" s="1"/>
  <c r="S39" i="1"/>
  <c r="S38" i="1" s="1"/>
  <c r="R39" i="1"/>
  <c r="Q39" i="1"/>
  <c r="P39" i="1"/>
  <c r="P38" i="1" s="1"/>
  <c r="O39" i="1"/>
  <c r="O38" i="1" s="1"/>
  <c r="N39" i="1"/>
  <c r="M39" i="1"/>
  <c r="L39" i="1"/>
  <c r="L38" i="1" s="1"/>
  <c r="K39" i="1"/>
  <c r="K38" i="1" s="1"/>
  <c r="J39" i="1"/>
  <c r="I39" i="1"/>
  <c r="H39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Z38" i="1"/>
  <c r="Y38" i="1"/>
  <c r="V38" i="1"/>
  <c r="U38" i="1"/>
  <c r="R38" i="1"/>
  <c r="Q38" i="1"/>
  <c r="N38" i="1"/>
  <c r="M38" i="1"/>
  <c r="J38" i="1"/>
  <c r="I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C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AD35" i="1"/>
  <c r="AD34" i="1" s="1"/>
  <c r="AC35" i="1"/>
  <c r="AB35" i="1"/>
  <c r="AA35" i="1"/>
  <c r="AA34" i="1" s="1"/>
  <c r="Z35" i="1"/>
  <c r="Z34" i="1" s="1"/>
  <c r="Y35" i="1"/>
  <c r="X35" i="1"/>
  <c r="W35" i="1"/>
  <c r="W34" i="1" s="1"/>
  <c r="V35" i="1"/>
  <c r="V34" i="1" s="1"/>
  <c r="U35" i="1"/>
  <c r="T35" i="1"/>
  <c r="S35" i="1"/>
  <c r="S34" i="1" s="1"/>
  <c r="R35" i="1"/>
  <c r="R34" i="1" s="1"/>
  <c r="Q35" i="1"/>
  <c r="P35" i="1"/>
  <c r="O35" i="1"/>
  <c r="O34" i="1" s="1"/>
  <c r="N35" i="1"/>
  <c r="N34" i="1" s="1"/>
  <c r="M35" i="1"/>
  <c r="L35" i="1"/>
  <c r="K35" i="1"/>
  <c r="K34" i="1" s="1"/>
  <c r="J35" i="1"/>
  <c r="J34" i="1" s="1"/>
  <c r="I35" i="1"/>
  <c r="H35" i="1"/>
  <c r="G35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C34" i="1"/>
  <c r="AB34" i="1"/>
  <c r="Y34" i="1"/>
  <c r="X34" i="1"/>
  <c r="U34" i="1"/>
  <c r="T34" i="1"/>
  <c r="Q34" i="1"/>
  <c r="P34" i="1"/>
  <c r="M34" i="1"/>
  <c r="L34" i="1"/>
  <c r="I34" i="1"/>
  <c r="H34" i="1"/>
  <c r="AD33" i="1"/>
  <c r="AC33" i="1"/>
  <c r="AC30" i="1" s="1"/>
  <c r="AB33" i="1"/>
  <c r="AA33" i="1"/>
  <c r="Z33" i="1"/>
  <c r="Y33" i="1"/>
  <c r="Y30" i="1" s="1"/>
  <c r="X33" i="1"/>
  <c r="W33" i="1"/>
  <c r="V33" i="1"/>
  <c r="U33" i="1"/>
  <c r="U30" i="1" s="1"/>
  <c r="T33" i="1"/>
  <c r="S33" i="1"/>
  <c r="R33" i="1"/>
  <c r="Q33" i="1"/>
  <c r="Q30" i="1" s="1"/>
  <c r="P33" i="1"/>
  <c r="O33" i="1"/>
  <c r="N33" i="1"/>
  <c r="M33" i="1"/>
  <c r="M30" i="1" s="1"/>
  <c r="L33" i="1"/>
  <c r="K33" i="1"/>
  <c r="J33" i="1"/>
  <c r="I33" i="1"/>
  <c r="I30" i="1" s="1"/>
  <c r="H33" i="1"/>
  <c r="G33" i="1" s="1"/>
  <c r="C33" i="1"/>
  <c r="AD32" i="1"/>
  <c r="AB32" i="1"/>
  <c r="AA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 s="1"/>
  <c r="AD31" i="1"/>
  <c r="AC31" i="1"/>
  <c r="AB31" i="1"/>
  <c r="AB30" i="1" s="1"/>
  <c r="AA31" i="1"/>
  <c r="AA30" i="1" s="1"/>
  <c r="Z31" i="1"/>
  <c r="Y31" i="1"/>
  <c r="X31" i="1"/>
  <c r="W31" i="1"/>
  <c r="W30" i="1" s="1"/>
  <c r="V31" i="1"/>
  <c r="U31" i="1"/>
  <c r="T31" i="1"/>
  <c r="S31" i="1"/>
  <c r="S30" i="1" s="1"/>
  <c r="R31" i="1"/>
  <c r="Q31" i="1"/>
  <c r="P31" i="1"/>
  <c r="O31" i="1"/>
  <c r="O30" i="1" s="1"/>
  <c r="N31" i="1"/>
  <c r="M31" i="1"/>
  <c r="L31" i="1"/>
  <c r="K31" i="1"/>
  <c r="K30" i="1" s="1"/>
  <c r="J31" i="1"/>
  <c r="I31" i="1"/>
  <c r="H31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Z30" i="1"/>
  <c r="V30" i="1"/>
  <c r="R30" i="1"/>
  <c r="N30" i="1"/>
  <c r="J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 s="1"/>
  <c r="C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C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 s="1"/>
  <c r="C27" i="1"/>
  <c r="AD26" i="1"/>
  <c r="AC26" i="1"/>
  <c r="AC21" i="1" s="1"/>
  <c r="AB26" i="1"/>
  <c r="AA26" i="1"/>
  <c r="Z26" i="1"/>
  <c r="Y26" i="1"/>
  <c r="Y21" i="1" s="1"/>
  <c r="X26" i="1"/>
  <c r="W26" i="1"/>
  <c r="V26" i="1"/>
  <c r="U26" i="1"/>
  <c r="U21" i="1" s="1"/>
  <c r="T26" i="1"/>
  <c r="S26" i="1"/>
  <c r="R26" i="1"/>
  <c r="Q26" i="1"/>
  <c r="P26" i="1"/>
  <c r="O26" i="1"/>
  <c r="N26" i="1"/>
  <c r="M26" i="1"/>
  <c r="M21" i="1" s="1"/>
  <c r="L26" i="1"/>
  <c r="K26" i="1"/>
  <c r="J26" i="1"/>
  <c r="I26" i="1"/>
  <c r="I21" i="1" s="1"/>
  <c r="H26" i="1"/>
  <c r="C26" i="1"/>
  <c r="AD25" i="1"/>
  <c r="AD21" i="1" s="1"/>
  <c r="AC25" i="1"/>
  <c r="AB25" i="1"/>
  <c r="AA25" i="1"/>
  <c r="Z25" i="1"/>
  <c r="Z21" i="1" s="1"/>
  <c r="Y25" i="1"/>
  <c r="X25" i="1"/>
  <c r="W25" i="1"/>
  <c r="V25" i="1"/>
  <c r="V21" i="1" s="1"/>
  <c r="U25" i="1"/>
  <c r="T25" i="1"/>
  <c r="S25" i="1"/>
  <c r="R25" i="1"/>
  <c r="R21" i="1" s="1"/>
  <c r="Q25" i="1"/>
  <c r="P25" i="1"/>
  <c r="O25" i="1"/>
  <c r="N25" i="1"/>
  <c r="N21" i="1" s="1"/>
  <c r="M25" i="1"/>
  <c r="L25" i="1"/>
  <c r="K25" i="1"/>
  <c r="J25" i="1"/>
  <c r="J21" i="1" s="1"/>
  <c r="I25" i="1"/>
  <c r="H25" i="1"/>
  <c r="C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D22" i="1"/>
  <c r="AC22" i="1"/>
  <c r="AB22" i="1"/>
  <c r="AB21" i="1" s="1"/>
  <c r="AA22" i="1"/>
  <c r="AA21" i="1" s="1"/>
  <c r="Z22" i="1"/>
  <c r="Y22" i="1"/>
  <c r="X22" i="1"/>
  <c r="X21" i="1" s="1"/>
  <c r="W22" i="1"/>
  <c r="W21" i="1" s="1"/>
  <c r="V22" i="1"/>
  <c r="U22" i="1"/>
  <c r="T22" i="1"/>
  <c r="T21" i="1" s="1"/>
  <c r="S22" i="1"/>
  <c r="S21" i="1" s="1"/>
  <c r="R22" i="1"/>
  <c r="Q22" i="1"/>
  <c r="P22" i="1"/>
  <c r="P21" i="1" s="1"/>
  <c r="O22" i="1"/>
  <c r="O21" i="1" s="1"/>
  <c r="N22" i="1"/>
  <c r="M22" i="1"/>
  <c r="L22" i="1"/>
  <c r="L21" i="1" s="1"/>
  <c r="K22" i="1"/>
  <c r="K21" i="1" s="1"/>
  <c r="J22" i="1"/>
  <c r="I22" i="1"/>
  <c r="H22" i="1"/>
  <c r="H21" i="1" s="1"/>
  <c r="G22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Q21" i="1"/>
  <c r="AD20" i="1"/>
  <c r="AC20" i="1"/>
  <c r="AB20" i="1"/>
  <c r="AA20" i="1"/>
  <c r="Z20" i="1"/>
  <c r="Y20" i="1"/>
  <c r="Y18" i="1" s="1"/>
  <c r="X20" i="1"/>
  <c r="W20" i="1"/>
  <c r="V20" i="1"/>
  <c r="U20" i="1"/>
  <c r="U18" i="1" s="1"/>
  <c r="T20" i="1"/>
  <c r="S20" i="1"/>
  <c r="R20" i="1"/>
  <c r="Q20" i="1"/>
  <c r="Q18" i="1" s="1"/>
  <c r="P20" i="1"/>
  <c r="O20" i="1"/>
  <c r="N20" i="1"/>
  <c r="M20" i="1"/>
  <c r="L20" i="1"/>
  <c r="K20" i="1"/>
  <c r="J20" i="1"/>
  <c r="I20" i="1"/>
  <c r="I18" i="1" s="1"/>
  <c r="H20" i="1"/>
  <c r="C20" i="1"/>
  <c r="AD19" i="1"/>
  <c r="AD18" i="1" s="1"/>
  <c r="AC19" i="1"/>
  <c r="AB19" i="1"/>
  <c r="AA19" i="1"/>
  <c r="Z19" i="1"/>
  <c r="Z18" i="1" s="1"/>
  <c r="Y19" i="1"/>
  <c r="X19" i="1"/>
  <c r="W19" i="1"/>
  <c r="V19" i="1"/>
  <c r="V18" i="1" s="1"/>
  <c r="U19" i="1"/>
  <c r="T19" i="1"/>
  <c r="S19" i="1"/>
  <c r="R19" i="1"/>
  <c r="R18" i="1" s="1"/>
  <c r="Q19" i="1"/>
  <c r="P19" i="1"/>
  <c r="O19" i="1"/>
  <c r="N19" i="1"/>
  <c r="N18" i="1" s="1"/>
  <c r="M19" i="1"/>
  <c r="L19" i="1"/>
  <c r="K19" i="1"/>
  <c r="J19" i="1"/>
  <c r="I19" i="1"/>
  <c r="H19" i="1"/>
  <c r="EZ18" i="1"/>
  <c r="EZ174" i="1" s="1"/>
  <c r="EY18" i="1"/>
  <c r="EY174" i="1" s="1"/>
  <c r="EX18" i="1"/>
  <c r="EW18" i="1"/>
  <c r="EV18" i="1"/>
  <c r="EV174" i="1" s="1"/>
  <c r="EU18" i="1"/>
  <c r="EU174" i="1" s="1"/>
  <c r="ET18" i="1"/>
  <c r="ES18" i="1"/>
  <c r="ER18" i="1"/>
  <c r="ER174" i="1" s="1"/>
  <c r="EQ18" i="1"/>
  <c r="EQ174" i="1" s="1"/>
  <c r="EP18" i="1"/>
  <c r="EO18" i="1"/>
  <c r="EN18" i="1"/>
  <c r="EN174" i="1" s="1"/>
  <c r="EM18" i="1"/>
  <c r="EM174" i="1" s="1"/>
  <c r="EL18" i="1"/>
  <c r="EK18" i="1"/>
  <c r="EJ18" i="1"/>
  <c r="EJ174" i="1" s="1"/>
  <c r="EI18" i="1"/>
  <c r="EI174" i="1" s="1"/>
  <c r="EH18" i="1"/>
  <c r="EG18" i="1"/>
  <c r="EF18" i="1"/>
  <c r="EF174" i="1" s="1"/>
  <c r="EE18" i="1"/>
  <c r="EE174" i="1" s="1"/>
  <c r="ED18" i="1"/>
  <c r="EC18" i="1"/>
  <c r="EB18" i="1"/>
  <c r="EB174" i="1" s="1"/>
  <c r="EA18" i="1"/>
  <c r="EA174" i="1" s="1"/>
  <c r="DZ18" i="1"/>
  <c r="DY18" i="1"/>
  <c r="DX18" i="1"/>
  <c r="DX174" i="1" s="1"/>
  <c r="DW18" i="1"/>
  <c r="DW174" i="1" s="1"/>
  <c r="DV18" i="1"/>
  <c r="DU18" i="1"/>
  <c r="DT18" i="1"/>
  <c r="DT174" i="1" s="1"/>
  <c r="DS18" i="1"/>
  <c r="DS174" i="1" s="1"/>
  <c r="DR18" i="1"/>
  <c r="DQ18" i="1"/>
  <c r="DP18" i="1"/>
  <c r="DP174" i="1" s="1"/>
  <c r="DO18" i="1"/>
  <c r="DO174" i="1" s="1"/>
  <c r="DN18" i="1"/>
  <c r="DM18" i="1"/>
  <c r="DL18" i="1"/>
  <c r="DL174" i="1" s="1"/>
  <c r="DK18" i="1"/>
  <c r="DK174" i="1" s="1"/>
  <c r="DJ18" i="1"/>
  <c r="DI18" i="1"/>
  <c r="DH18" i="1"/>
  <c r="DH174" i="1" s="1"/>
  <c r="DG18" i="1"/>
  <c r="DG174" i="1" s="1"/>
  <c r="DF18" i="1"/>
  <c r="DE18" i="1"/>
  <c r="DD18" i="1"/>
  <c r="DD174" i="1" s="1"/>
  <c r="DC18" i="1"/>
  <c r="DC174" i="1" s="1"/>
  <c r="DB18" i="1"/>
  <c r="DA18" i="1"/>
  <c r="CZ18" i="1"/>
  <c r="CZ174" i="1" s="1"/>
  <c r="CY18" i="1"/>
  <c r="CY174" i="1" s="1"/>
  <c r="CX18" i="1"/>
  <c r="CW18" i="1"/>
  <c r="CV18" i="1"/>
  <c r="CV174" i="1" s="1"/>
  <c r="CU18" i="1"/>
  <c r="CU174" i="1" s="1"/>
  <c r="CT18" i="1"/>
  <c r="CS18" i="1"/>
  <c r="CR18" i="1"/>
  <c r="CR174" i="1" s="1"/>
  <c r="CQ18" i="1"/>
  <c r="CQ174" i="1" s="1"/>
  <c r="CP18" i="1"/>
  <c r="CO18" i="1"/>
  <c r="CO174" i="1" s="1"/>
  <c r="CN18" i="1"/>
  <c r="CN174" i="1" s="1"/>
  <c r="CM18" i="1"/>
  <c r="CM174" i="1" s="1"/>
  <c r="CL18" i="1"/>
  <c r="CK18" i="1"/>
  <c r="CJ18" i="1"/>
  <c r="CJ174" i="1" s="1"/>
  <c r="CI18" i="1"/>
  <c r="CI174" i="1" s="1"/>
  <c r="CH18" i="1"/>
  <c r="CG18" i="1"/>
  <c r="CF18" i="1"/>
  <c r="CF174" i="1" s="1"/>
  <c r="CE18" i="1"/>
  <c r="CE174" i="1" s="1"/>
  <c r="CD18" i="1"/>
  <c r="CC18" i="1"/>
  <c r="CB18" i="1"/>
  <c r="CB174" i="1" s="1"/>
  <c r="CA18" i="1"/>
  <c r="CA174" i="1" s="1"/>
  <c r="BZ18" i="1"/>
  <c r="BY18" i="1"/>
  <c r="BX18" i="1"/>
  <c r="BX174" i="1" s="1"/>
  <c r="BW18" i="1"/>
  <c r="BW174" i="1" s="1"/>
  <c r="BV18" i="1"/>
  <c r="BU18" i="1"/>
  <c r="BT18" i="1"/>
  <c r="BT174" i="1" s="1"/>
  <c r="BS18" i="1"/>
  <c r="BS174" i="1" s="1"/>
  <c r="BR18" i="1"/>
  <c r="BQ18" i="1"/>
  <c r="BP18" i="1"/>
  <c r="BP174" i="1" s="1"/>
  <c r="BO18" i="1"/>
  <c r="BO174" i="1" s="1"/>
  <c r="BN18" i="1"/>
  <c r="BM18" i="1"/>
  <c r="BL18" i="1"/>
  <c r="BL174" i="1" s="1"/>
  <c r="BK18" i="1"/>
  <c r="BK174" i="1" s="1"/>
  <c r="BJ18" i="1"/>
  <c r="BI18" i="1"/>
  <c r="BH18" i="1"/>
  <c r="BH174" i="1" s="1"/>
  <c r="BG18" i="1"/>
  <c r="BG174" i="1" s="1"/>
  <c r="BF18" i="1"/>
  <c r="BE18" i="1"/>
  <c r="BD18" i="1"/>
  <c r="BD174" i="1" s="1"/>
  <c r="BC18" i="1"/>
  <c r="BC174" i="1" s="1"/>
  <c r="BB18" i="1"/>
  <c r="BA18" i="1"/>
  <c r="AZ18" i="1"/>
  <c r="AZ174" i="1" s="1"/>
  <c r="AY18" i="1"/>
  <c r="AY174" i="1" s="1"/>
  <c r="AX18" i="1"/>
  <c r="AW18" i="1"/>
  <c r="AV18" i="1"/>
  <c r="AV174" i="1" s="1"/>
  <c r="AU18" i="1"/>
  <c r="AU174" i="1" s="1"/>
  <c r="AT18" i="1"/>
  <c r="AS18" i="1"/>
  <c r="AR18" i="1"/>
  <c r="AR174" i="1" s="1"/>
  <c r="AQ18" i="1"/>
  <c r="AQ174" i="1" s="1"/>
  <c r="AP18" i="1"/>
  <c r="AO18" i="1"/>
  <c r="AN18" i="1"/>
  <c r="AN174" i="1" s="1"/>
  <c r="AM18" i="1"/>
  <c r="AM174" i="1" s="1"/>
  <c r="AL18" i="1"/>
  <c r="AK18" i="1"/>
  <c r="AJ18" i="1"/>
  <c r="AJ174" i="1" s="1"/>
  <c r="AI18" i="1"/>
  <c r="AI174" i="1" s="1"/>
  <c r="AH18" i="1"/>
  <c r="AG18" i="1"/>
  <c r="AF18" i="1"/>
  <c r="AF174" i="1" s="1"/>
  <c r="AE18" i="1"/>
  <c r="AE174" i="1" s="1"/>
  <c r="AC18" i="1"/>
  <c r="AB18" i="1"/>
  <c r="AA18" i="1"/>
  <c r="X18" i="1"/>
  <c r="W18" i="1"/>
  <c r="T18" i="1"/>
  <c r="S18" i="1"/>
  <c r="P18" i="1"/>
  <c r="O18" i="1"/>
  <c r="M18" i="1"/>
  <c r="L18" i="1"/>
  <c r="K18" i="1"/>
  <c r="H18" i="1"/>
  <c r="EZ13" i="1"/>
  <c r="EY13" i="1"/>
  <c r="EV13" i="1"/>
  <c r="EU13" i="1"/>
  <c r="EQ13" i="1"/>
  <c r="EP13" i="1"/>
  <c r="EM13" i="1"/>
  <c r="EH13" i="1"/>
  <c r="EG13" i="1"/>
  <c r="ED13" i="1"/>
  <c r="EC13" i="1"/>
  <c r="DY13" i="1"/>
  <c r="DX13" i="1"/>
  <c r="DU13" i="1"/>
  <c r="DP13" i="1"/>
  <c r="DO13" i="1"/>
  <c r="DL13" i="1"/>
  <c r="DK13" i="1"/>
  <c r="DG13" i="1"/>
  <c r="DF13" i="1"/>
  <c r="DC13" i="1"/>
  <c r="CX13" i="1"/>
  <c r="CW13" i="1"/>
  <c r="CT13" i="1"/>
  <c r="CS13" i="1"/>
  <c r="CO13" i="1"/>
  <c r="CN13" i="1"/>
  <c r="CK13" i="1"/>
  <c r="CF13" i="1"/>
  <c r="CE13" i="1"/>
  <c r="CB13" i="1"/>
  <c r="CA13" i="1"/>
  <c r="BW13" i="1"/>
  <c r="BV13" i="1"/>
  <c r="BS13" i="1"/>
  <c r="BN13" i="1"/>
  <c r="BM13" i="1"/>
  <c r="BJ13" i="1"/>
  <c r="BI13" i="1"/>
  <c r="BE13" i="1"/>
  <c r="BD13" i="1"/>
  <c r="BA13" i="1"/>
  <c r="AV13" i="1"/>
  <c r="AU13" i="1"/>
  <c r="AR13" i="1"/>
  <c r="AQ13" i="1"/>
  <c r="AM13" i="1"/>
  <c r="AL13" i="1"/>
  <c r="AI13" i="1"/>
  <c r="AD13" i="1"/>
  <c r="AB13" i="1"/>
  <c r="Y13" i="1"/>
  <c r="X13" i="1"/>
  <c r="U13" i="1"/>
  <c r="T13" i="1"/>
  <c r="P13" i="1"/>
  <c r="O13" i="1"/>
  <c r="L13" i="1"/>
  <c r="EI9" i="1"/>
  <c r="DQ9" i="1"/>
  <c r="CY9" i="1"/>
  <c r="CG9" i="1"/>
  <c r="BO9" i="1"/>
  <c r="AW9" i="1"/>
  <c r="AE9" i="1"/>
  <c r="U174" i="1" l="1"/>
  <c r="O174" i="1"/>
  <c r="J18" i="1"/>
  <c r="G19" i="1"/>
  <c r="R174" i="1"/>
  <c r="G34" i="1"/>
  <c r="G51" i="1"/>
  <c r="H50" i="1"/>
  <c r="K174" i="1"/>
  <c r="G37" i="1"/>
  <c r="G101" i="1"/>
  <c r="H78" i="1"/>
  <c r="G106" i="1"/>
  <c r="H105" i="1"/>
  <c r="M174" i="1"/>
  <c r="W174" i="1"/>
  <c r="AG174" i="1"/>
  <c r="AK174" i="1"/>
  <c r="AO174" i="1"/>
  <c r="AS174" i="1"/>
  <c r="AW174" i="1"/>
  <c r="BA174" i="1"/>
  <c r="BE174" i="1"/>
  <c r="BI174" i="1"/>
  <c r="BM174" i="1"/>
  <c r="BQ174" i="1"/>
  <c r="BU174" i="1"/>
  <c r="BY174" i="1"/>
  <c r="CC174" i="1"/>
  <c r="CG174" i="1"/>
  <c r="CK174" i="1"/>
  <c r="CS174" i="1"/>
  <c r="CW174" i="1"/>
  <c r="DA174" i="1"/>
  <c r="DE174" i="1"/>
  <c r="DU174" i="1"/>
  <c r="EK174" i="1"/>
  <c r="G20" i="1"/>
  <c r="G25" i="1"/>
  <c r="G21" i="1" s="1"/>
  <c r="G26" i="1"/>
  <c r="G31" i="1"/>
  <c r="G30" i="1" s="1"/>
  <c r="H30" i="1"/>
  <c r="H174" i="1" s="1"/>
  <c r="L30" i="1"/>
  <c r="L174" i="1" s="1"/>
  <c r="P30" i="1"/>
  <c r="P174" i="1" s="1"/>
  <c r="T30" i="1"/>
  <c r="T174" i="1" s="1"/>
  <c r="X30" i="1"/>
  <c r="X174" i="1" s="1"/>
  <c r="G39" i="1"/>
  <c r="G38" i="1" s="1"/>
  <c r="H38" i="1"/>
  <c r="AB42" i="1"/>
  <c r="AB174" i="1" s="1"/>
  <c r="N50" i="1"/>
  <c r="N174" i="1" s="1"/>
  <c r="AD50" i="1"/>
  <c r="AD174" i="1" s="1"/>
  <c r="DM174" i="1"/>
  <c r="DQ174" i="1"/>
  <c r="DY174" i="1"/>
  <c r="EC174" i="1"/>
  <c r="EG174" i="1"/>
  <c r="EO174" i="1"/>
  <c r="ES174" i="1"/>
  <c r="EW174" i="1"/>
  <c r="G45" i="1"/>
  <c r="I50" i="1"/>
  <c r="I174" i="1" s="1"/>
  <c r="M50" i="1"/>
  <c r="Q50" i="1"/>
  <c r="Q174" i="1" s="1"/>
  <c r="U50" i="1"/>
  <c r="Y50" i="1"/>
  <c r="Y174" i="1" s="1"/>
  <c r="AC50" i="1"/>
  <c r="AC174" i="1" s="1"/>
  <c r="G54" i="1"/>
  <c r="G58" i="1"/>
  <c r="G62" i="1"/>
  <c r="G66" i="1"/>
  <c r="G70" i="1"/>
  <c r="G74" i="1"/>
  <c r="DI174" i="1"/>
  <c r="AH174" i="1"/>
  <c r="AL174" i="1"/>
  <c r="AP174" i="1"/>
  <c r="AT174" i="1"/>
  <c r="AX174" i="1"/>
  <c r="BB174" i="1"/>
  <c r="BF174" i="1"/>
  <c r="BJ174" i="1"/>
  <c r="BN174" i="1"/>
  <c r="BR174" i="1"/>
  <c r="BV174" i="1"/>
  <c r="BZ174" i="1"/>
  <c r="CD174" i="1"/>
  <c r="CH174" i="1"/>
  <c r="CL174" i="1"/>
  <c r="CP174" i="1"/>
  <c r="CT174" i="1"/>
  <c r="CX174" i="1"/>
  <c r="DB174" i="1"/>
  <c r="DF174" i="1"/>
  <c r="DJ174" i="1"/>
  <c r="DN174" i="1"/>
  <c r="DR174" i="1"/>
  <c r="DV174" i="1"/>
  <c r="DZ174" i="1"/>
  <c r="ED174" i="1"/>
  <c r="EH174" i="1"/>
  <c r="EL174" i="1"/>
  <c r="EP174" i="1"/>
  <c r="ET174" i="1"/>
  <c r="EX174" i="1"/>
  <c r="G44" i="1"/>
  <c r="G53" i="1"/>
  <c r="G57" i="1"/>
  <c r="G61" i="1"/>
  <c r="G65" i="1"/>
  <c r="G69" i="1"/>
  <c r="G73" i="1"/>
  <c r="H117" i="1"/>
  <c r="G43" i="1"/>
  <c r="G42" i="1" s="1"/>
  <c r="G47" i="1"/>
  <c r="G52" i="1"/>
  <c r="G56" i="1"/>
  <c r="G60" i="1"/>
  <c r="G64" i="1"/>
  <c r="G68" i="1"/>
  <c r="G72" i="1"/>
  <c r="G76" i="1"/>
  <c r="G79" i="1"/>
  <c r="K78" i="1"/>
  <c r="O78" i="1"/>
  <c r="S78" i="1"/>
  <c r="S174" i="1" s="1"/>
  <c r="W78" i="1"/>
  <c r="AA78" i="1"/>
  <c r="AA174" i="1" s="1"/>
  <c r="G157" i="1"/>
  <c r="I155" i="1"/>
  <c r="G108" i="1"/>
  <c r="G112" i="1"/>
  <c r="G120" i="1"/>
  <c r="G129" i="1"/>
  <c r="G125" i="1" s="1"/>
  <c r="J144" i="1"/>
  <c r="G145" i="1"/>
  <c r="N144" i="1"/>
  <c r="R144" i="1"/>
  <c r="V144" i="1"/>
  <c r="V174" i="1" s="1"/>
  <c r="Z144" i="1"/>
  <c r="Z174" i="1" s="1"/>
  <c r="AD144" i="1"/>
  <c r="G153" i="1"/>
  <c r="I144" i="1"/>
  <c r="J155" i="1"/>
  <c r="G156" i="1"/>
  <c r="G155" i="1" s="1"/>
  <c r="G172" i="1"/>
  <c r="G158" i="1" s="1"/>
  <c r="J158" i="1"/>
  <c r="G107" i="1"/>
  <c r="G111" i="1"/>
  <c r="G119" i="1"/>
  <c r="G117" i="1" s="1"/>
  <c r="G123" i="1"/>
  <c r="G141" i="1"/>
  <c r="G131" i="1" s="1"/>
  <c r="J131" i="1"/>
  <c r="I158" i="1"/>
  <c r="G144" i="1" l="1"/>
  <c r="G105" i="1"/>
  <c r="G18" i="1"/>
  <c r="G174" i="1" s="1"/>
  <c r="G78" i="1"/>
  <c r="G50" i="1"/>
  <c r="J174" i="1"/>
</calcChain>
</file>

<file path=xl/sharedStrings.xml><?xml version="1.0" encoding="utf-8"?>
<sst xmlns="http://schemas.openxmlformats.org/spreadsheetml/2006/main" count="456" uniqueCount="312">
  <si>
    <t>Ūkio subjektas: UAB Šilutės šilumos tinklai</t>
  </si>
  <si>
    <t xml:space="preserve">Ataskaitinis laikotarpis:  - </t>
  </si>
  <si>
    <t>Ūkio subjekto sąnaudų paskirstymo ataskaita (eurais)</t>
  </si>
  <si>
    <t>Šilumos sektoriaus įmonių apskaitos atskyrimo ir sąnaudų paskirstymo reikalavimų aprašo 12 priedas</t>
  </si>
  <si>
    <t>SĄNAUDŲ GRUPĖS IR POGRUPIAI</t>
  </si>
  <si>
    <t>IŠ VISO (tiesioginių, netiesioginių ir bendrųjų sąnaudų sumas)</t>
  </si>
  <si>
    <t>IŠ VISO</t>
  </si>
  <si>
    <t>Šilumos gamybos verslo vienetas</t>
  </si>
  <si>
    <t>Šilumos perdavimo verslo vienetas</t>
  </si>
  <si>
    <t>Mažmeninio aptarnavimo verslo vienetas</t>
  </si>
  <si>
    <t>Karšto vandens tiekimo verslo vienetas</t>
  </si>
  <si>
    <t>Neatsiskaitomųjų šilumos apskaitos prietaisų aptarnavimo veiklos verslo vienetas</t>
  </si>
  <si>
    <t>Pastatų šildymo ir karšto vandens sistemų priežiūros verslo vienetas</t>
  </si>
  <si>
    <t>Prekybos apyvartiniais taršos leidimais ir su ja susijusios veiklos verslo vienetas</t>
  </si>
  <si>
    <t>Kitos reguliuojamosios veiklos verslo vienetas</t>
  </si>
  <si>
    <t>Nereguliuojamosios veiklos verslo vienetas</t>
  </si>
  <si>
    <t>Šilumos (produkto) gamyba</t>
  </si>
  <si>
    <t>Šilumos poreikio piko pajėgumų ir rezervinės galios užtikrinimas</t>
  </si>
  <si>
    <t>Šilumos perdavimas centralizuoto šilumos tiekimo sistemos tinklais</t>
  </si>
  <si>
    <t xml:space="preserve">Balansavimas centralizuoto šilumos tiekimo sistemoje </t>
  </si>
  <si>
    <t xml:space="preserve">Karšto vandens tiekimas (ruošimas ir vartotojų mažmeninis aptarnavimas) </t>
  </si>
  <si>
    <t xml:space="preserve">Karšto vandens temperatūros palaikymas
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</si>
  <si>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</si>
  <si>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</si>
  <si>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</si>
  <si>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Elektros energijos (produkto) gamyba</t>
  </si>
  <si>
    <t>Geriamojo vandens tiekimas ir nuotekų tvarkymas</t>
  </si>
  <si>
    <t>katilinių ir elektrodinių katilinių kolektoriuose</t>
  </si>
  <si>
    <t>kogeneracinėse jėgainėse</t>
  </si>
  <si>
    <t>I.</t>
  </si>
  <si>
    <t>ŠILUMOS ĮSIGIJIMO SĄNAUDOS</t>
  </si>
  <si>
    <t>I.1.</t>
  </si>
  <si>
    <t>Šilumos įsigijimo sąnaudos</t>
  </si>
  <si>
    <t>I.2.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</si>
  <si>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</si>
  <si>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</si>
  <si>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</si>
  <si>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</si>
  <si>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</si>
  <si>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</si>
  <si>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</si>
  <si>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</si>
  <si>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</si>
  <si>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II.5.</t>
  </si>
  <si>
    <t>II.6.</t>
  </si>
  <si>
    <t>II.7.</t>
  </si>
  <si>
    <t>II.8.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</si>
  <si>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</si>
  <si>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</si>
  <si>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</si>
  <si>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</si>
  <si>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</si>
  <si>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Savuose šaltiniuose pagamintos elektros energijos technologijai sąnaudos</t>
  </si>
  <si>
    <t>III.3.</t>
  </si>
  <si>
    <t>IV.</t>
  </si>
  <si>
    <t>VANDENS TECHNOLOGINĖMS REIKMĖMS ĮSIGIJIMO IR NUOTEKŲ TVARKYMO SĄNAUDOS</t>
  </si>
  <si>
    <t>IV.1.</t>
  </si>
  <si>
    <t>Vandens technologinėms reikmėms įsigijimo sąnaudos</t>
  </si>
  <si>
    <t>IV.2.</t>
  </si>
  <si>
    <t>Nuotekų tvarkymo sąnaudos</t>
  </si>
  <si>
    <t>IV.3.</t>
  </si>
  <si>
    <t>V.</t>
  </si>
  <si>
    <t>APYVARTINIŲ TARŠOS LEIDIMŲ ĮSIGIJIMO SĄNAUDOS</t>
  </si>
  <si>
    <t>V.1.</t>
  </si>
  <si>
    <t>Apyvartinių taršos leidimų įsigjimo sąnaudos</t>
  </si>
  <si>
    <t>V.2.</t>
  </si>
  <si>
    <t>V.3.</t>
  </si>
  <si>
    <t>VI.</t>
  </si>
  <si>
    <t>KITOS KINTAMOSIOS SĄNAUDOS</t>
  </si>
  <si>
    <t>VI.1.</t>
  </si>
  <si>
    <t>Pelenų tvarkymo (išvežimo, utilizavimo) sąnaudos</t>
  </si>
  <si>
    <t>VI.2.</t>
  </si>
  <si>
    <t>Energijos išteklių biržos operatoriaus teikiamų paslaugų sąnaudos</t>
  </si>
  <si>
    <t>VI.3.</t>
  </si>
  <si>
    <t>Gamtinių dujų biržos operatoriaus teikiamų paslaugų sąnaudos</t>
  </si>
  <si>
    <t>VI.4.</t>
  </si>
  <si>
    <t>Laboratoriniai tyrimai</t>
  </si>
  <si>
    <t>VI.5.</t>
  </si>
  <si>
    <t>Cheminės medžiagos technologijai</t>
  </si>
  <si>
    <t>VI.6.</t>
  </si>
  <si>
    <t>VI.7.</t>
  </si>
  <si>
    <t>VII.</t>
  </si>
  <si>
    <t>NUSIDĖVĖJIMO (AMORTIZACIJOS) SĄNAUDOS</t>
  </si>
  <si>
    <t>VII.1.</t>
  </si>
  <si>
    <t>Plėtros darbų nusidėvėjimo sąnaudos</t>
  </si>
  <si>
    <t>VII.2.</t>
  </si>
  <si>
    <t>Prestižo nusidėvėjimo sąnaudos</t>
  </si>
  <si>
    <t>VII.3.</t>
  </si>
  <si>
    <t>Patentų, licencijų, įsigytų teisių nusidėvėjimo sąnaudos</t>
  </si>
  <si>
    <t>VII.4.</t>
  </si>
  <si>
    <t>Programinės įrangos nusidėvėjimo sąnaudos</t>
  </si>
  <si>
    <t>VII.5.</t>
  </si>
  <si>
    <t>Kito nematerialaus turto (nurodyti) nusidėvėjimo sąnaudos</t>
  </si>
  <si>
    <t>VII.6.</t>
  </si>
  <si>
    <t>Gamybinės paskirties pastatų, statinių (katilinių) nusidėvėjimo sąnaudos</t>
  </si>
  <si>
    <t>VII.7.</t>
  </si>
  <si>
    <t>Gamybinės paskirties pastatų, statinių (konteinerinių katilinių, siurblinių) nusidėvėjimo sąnaudos</t>
  </si>
  <si>
    <t>VII.8.</t>
  </si>
  <si>
    <t>Gamybinės paskirties pastatų, statinių (kitų technologinės paskirties) nusidėvėjimo sąnaudos</t>
  </si>
  <si>
    <t>VII.9.</t>
  </si>
  <si>
    <t>Kitos paskirties pastatų, statinių (kuro (mazuto) rezervuarų) nusidėvėjimo sąnaudos</t>
  </si>
  <si>
    <t>VII.10.</t>
  </si>
  <si>
    <t>Kitos paskirties pastatų, statinių (dūmtraukių mūrinių, gelžbetoninių) nusidėvėjimo sąnaudos</t>
  </si>
  <si>
    <t>VII.11.</t>
  </si>
  <si>
    <t>Kitos paskirties pastatų, statinių (dūmtraukių metalinių) nusidėvėjimo sąnaudos</t>
  </si>
  <si>
    <t>VII.12.</t>
  </si>
  <si>
    <t>Kitos paskirties pastatų, statinių (vamzdynų) nusidėvėjimo sąnaudos</t>
  </si>
  <si>
    <t>VII.13.</t>
  </si>
  <si>
    <t>Administracinės paskirties pastatų, statinių nusidėvėjimo sąnaudos</t>
  </si>
  <si>
    <t>VII.14.</t>
  </si>
  <si>
    <t>Kitos paskirties pastatų nusidėvėjimo sąnaudos</t>
  </si>
  <si>
    <t>VII.15.</t>
  </si>
  <si>
    <t>Kitos įrangos, prietaisų, įrankių, įrenginių (kelių, aikštelių, šaligatvių, tvorų) nusidėvėjimo sąnaudos</t>
  </si>
  <si>
    <t>VII.16.</t>
  </si>
  <si>
    <t>Mašinų ir įrengimų (katilinių įrengimų, stacionariųjų garo katilų) nusidėvėjimo sąnaudos</t>
  </si>
  <si>
    <t>VII.17.</t>
  </si>
  <si>
    <t>Mašinų ir įrengimų (vandens šildymo katilų) nusidėvėjimo sąnaudos</t>
  </si>
  <si>
    <t>VII.18.</t>
  </si>
  <si>
    <t>Mašinų ir įrengimų (siurblių, kitų siurblinės įrengimų) nusidėvėjimo sąnaudos</t>
  </si>
  <si>
    <t>VII.19.</t>
  </si>
  <si>
    <t>Mašinų ir įrengimų (šilumos punktų, mazgų, modulių) nusidėvėjimo sąnaudos</t>
  </si>
  <si>
    <t>VII.20.</t>
  </si>
  <si>
    <t>Kitų mašinų ir įrengimų (nurodyti) nusidėvėjimo sąnaudos</t>
  </si>
  <si>
    <t>VII.21.</t>
  </si>
  <si>
    <t>Kitos įrangos, prietaisų, įrankių, įrenginių nusidėvėjimo sąnaudos</t>
  </si>
  <si>
    <t>VII.22.</t>
  </si>
  <si>
    <t>Kitos įrangos, prietaisų, įrankių, įrenginių (šilumos kiekio apskaitos prietaisų) nusidėvėjimo sąnaudos</t>
  </si>
  <si>
    <t>VII.23.</t>
  </si>
  <si>
    <t>Kitos įrangos, prietaisų, įrankių, įrenginių (kitų šilumos matavimo ir reguliavimo prietaisų) nusidėvėjimo sąnaudos</t>
  </si>
  <si>
    <t>VII.24.</t>
  </si>
  <si>
    <t>Transporto priemonių nusidėvėjimo sąnaudos</t>
  </si>
  <si>
    <t>VII.25.</t>
  </si>
  <si>
    <t>Kito materialaus turto nusidėvėjimo sąnaudos</t>
  </si>
  <si>
    <t>VII.26.</t>
  </si>
  <si>
    <t>Investicinio turto nusidėvėjimo sąnaudos</t>
  </si>
  <si>
    <t>VII.27.</t>
  </si>
  <si>
    <t>Kito ilgalaikio turto nusidėvėjimo sąnaudos</t>
  </si>
  <si>
    <t>VIII.</t>
  </si>
  <si>
    <t>EINAMOJO REMONTO IR APTARNAVIMO SĄNAUDOS</t>
  </si>
  <si>
    <t>VIII.1.</t>
  </si>
  <si>
    <t>Gamybos objektų einamojo remonto, aptarnavimo sąnaudos</t>
  </si>
  <si>
    <t>VIII.2.</t>
  </si>
  <si>
    <t>Tinklų einamojo remonto, aptarnavimo sąnaudos</t>
  </si>
  <si>
    <t>VIII.3.</t>
  </si>
  <si>
    <t>Šilumos punktų einamojo remonto, aptarnavimo sąnaudos</t>
  </si>
  <si>
    <t>VIII.4.</t>
  </si>
  <si>
    <t>IT aptarnavimo sąnaudos</t>
  </si>
  <si>
    <t>VIII.5.</t>
  </si>
  <si>
    <t>Kitų objektų (nurodyti) einamojo remonto, aptarnavimo sąnaudos</t>
  </si>
  <si>
    <t>VIII.6.</t>
  </si>
  <si>
    <t>Medžiagų, žaliavų sąnaudos gamybos objektams</t>
  </si>
  <si>
    <t>VIII.7.</t>
  </si>
  <si>
    <t>Medžiagų, žaliavų sąnaudos tinklams</t>
  </si>
  <si>
    <t>VIII.8.</t>
  </si>
  <si>
    <t>Medžiagų, žaliavų sąnaudos šilumos punktams</t>
  </si>
  <si>
    <t>VIII.9.</t>
  </si>
  <si>
    <t>Medžiagų, žaliavų sąnaudos IT</t>
  </si>
  <si>
    <t>VIII.10.</t>
  </si>
  <si>
    <t>Medžiagų, žaliavų sąnaudos kitiems objektams (nurodyti)</t>
  </si>
  <si>
    <t>VIII.11.</t>
  </si>
  <si>
    <t>Atsiskaitomųjų šilumos apskaitos prietaisų eksploatacijos sąnaudos</t>
  </si>
  <si>
    <t>VIII.12.</t>
  </si>
  <si>
    <t>Nuotolinės duomenų nuskaitymo ir perdavimo sistemos priežiūros sąnaudos</t>
  </si>
  <si>
    <t>VIII.13.</t>
  </si>
  <si>
    <t>Patalpų (ne administracinių) remonto, aptarnavimo sąnaudos</t>
  </si>
  <si>
    <t>Rezervinio kuro saugojimo, atnaujinimo ir įsigijimo sąnaudos</t>
  </si>
  <si>
    <t>VIII.15.</t>
  </si>
  <si>
    <t>Mažaverčio inventoriaus sąnaudos</t>
  </si>
  <si>
    <t>VIII.16.</t>
  </si>
  <si>
    <t>Turto nuomos (ne šilumos ūkio nuomos, koncesijos sutarties objektų) sąnaudos</t>
  </si>
  <si>
    <t>VIII.17.</t>
  </si>
  <si>
    <t>Komunalinių paslaugų (elektros energija, vanduo, nuotekos, atliekos, t.t.) sąnaudos (ne administracinių patalpų)</t>
  </si>
  <si>
    <t>VIII.18.</t>
  </si>
  <si>
    <t>Transporto priemonių eksploatacinės sąnaudos</t>
  </si>
  <si>
    <t>VIII.19.</t>
  </si>
  <si>
    <t>Transporto priemonių kuro sąnaudos</t>
  </si>
  <si>
    <t>VIII.20.</t>
  </si>
  <si>
    <t>Muitinės ir ekspedijavimo paslaugų sąnaudos</t>
  </si>
  <si>
    <t>VIII.21.</t>
  </si>
  <si>
    <t>Metrologinės patikros sąnaudos (šilumos ir karšto vandens apskaitos prietaisų)</t>
  </si>
  <si>
    <t>VIII.22.</t>
  </si>
  <si>
    <t>VIII.23.</t>
  </si>
  <si>
    <t>VIII.24.</t>
  </si>
  <si>
    <t>VIII.25.</t>
  </si>
  <si>
    <t>VIII.26.</t>
  </si>
  <si>
    <t>IX.</t>
  </si>
  <si>
    <t>PERSONALO SĄNAUDOS</t>
  </si>
  <si>
    <t>IX.1.</t>
  </si>
  <si>
    <t>Darbo užmokesčio sąnaudos</t>
  </si>
  <si>
    <t>IX.2.</t>
  </si>
  <si>
    <t>Darbdavio įmokų Valstybinio socialinio draudimo fondo valdybai sąnaudos</t>
  </si>
  <si>
    <t>IX.3.</t>
  </si>
  <si>
    <t>Papildomo darbuotojų draudimo sąnaudos</t>
  </si>
  <si>
    <t>IX.4.</t>
  </si>
  <si>
    <t>Mokymų, kvalifikacijos kėlimo, studijų sąnaudos</t>
  </si>
  <si>
    <t>IX.5.</t>
  </si>
  <si>
    <t>Išeitinės pašalpos, kompensacijos</t>
  </si>
  <si>
    <t>IX.6.</t>
  </si>
  <si>
    <t>Apsauginiai ir darbo drabužiai</t>
  </si>
  <si>
    <t>IX.7.</t>
  </si>
  <si>
    <t>Kelionės sąnaudos</t>
  </si>
  <si>
    <t>IX.8.</t>
  </si>
  <si>
    <t>IX.9.</t>
  </si>
  <si>
    <t>IX.10.</t>
  </si>
  <si>
    <t>IX.11.</t>
  </si>
  <si>
    <t>X.</t>
  </si>
  <si>
    <t>MOKESČIŲ SĄNAUDOS</t>
  </si>
  <si>
    <t>X.1.</t>
  </si>
  <si>
    <t>Žemės mokesčio sąnaudos</t>
  </si>
  <si>
    <t>X.2.</t>
  </si>
  <si>
    <t>Nekilnojamo turto mokesčio sąnaudos</t>
  </si>
  <si>
    <t>X.3.</t>
  </si>
  <si>
    <t>Aplinkos taršos mokesčio sąnaudos</t>
  </si>
  <si>
    <t>X.4.</t>
  </si>
  <si>
    <t>Valstybinių išteklių mokesčio sąnaudos</t>
  </si>
  <si>
    <t>X.5.</t>
  </si>
  <si>
    <t>Žyminio mokesčio sąnaudos</t>
  </si>
  <si>
    <t>X.6.</t>
  </si>
  <si>
    <t>Energetikos įstatyme numatytų mokesčių sąnaudos</t>
  </si>
  <si>
    <t>X.7.</t>
  </si>
  <si>
    <t>XI.</t>
  </si>
  <si>
    <t>FINANSINĖS SĄNAUDOS</t>
  </si>
  <si>
    <t>XI.1.</t>
  </si>
  <si>
    <t>Banko paslaugų (komisinių) sąnaudos</t>
  </si>
  <si>
    <t>XI.2.</t>
  </si>
  <si>
    <t>Palūkanų sąnaudos</t>
  </si>
  <si>
    <t>XI.3.</t>
  </si>
  <si>
    <t>Neigiamos mokėtinų ir gautinų sumų perkainojimo įtakos sąnaudos</t>
  </si>
  <si>
    <t>XI.4.</t>
  </si>
  <si>
    <t>XI.5.</t>
  </si>
  <si>
    <t>XII.</t>
  </si>
  <si>
    <t>ADMINISTRACINĖS SĄNAUDOS</t>
  </si>
  <si>
    <t>XII.1.</t>
  </si>
  <si>
    <t>Teisinės paslaugos</t>
  </si>
  <si>
    <t>XII.2.</t>
  </si>
  <si>
    <t>Konsultacinės paslaugos</t>
  </si>
  <si>
    <t>XII.3.</t>
  </si>
  <si>
    <t>Ryšių paslaugos</t>
  </si>
  <si>
    <t>XII.4.</t>
  </si>
  <si>
    <t>Pašto, pasiuntinių paslaugos</t>
  </si>
  <si>
    <t>XII.5.</t>
  </si>
  <si>
    <t>Kanceliarinės sąnaudos</t>
  </si>
  <si>
    <t>XII.6.</t>
  </si>
  <si>
    <t>Org.inventoriaus aptarnavimas, remontas</t>
  </si>
  <si>
    <t>XII.7.</t>
  </si>
  <si>
    <t>Profesinė literatūra, spauda</t>
  </si>
  <si>
    <t>XII.8.</t>
  </si>
  <si>
    <t>Komunalinės paslaugos (elektros energija, vanduo, nuotekos, šiukšlės, t.t.)</t>
  </si>
  <si>
    <t>XII.9.</t>
  </si>
  <si>
    <t>Patalpų priežiūros sąnaudos</t>
  </si>
  <si>
    <t>XII.10.</t>
  </si>
  <si>
    <t>XII.11.</t>
  </si>
  <si>
    <t>XII.12.</t>
  </si>
  <si>
    <t>XIII.</t>
  </si>
  <si>
    <t>RINKODAROS IR PARDAVIMŲ SĄNAUDOS</t>
  </si>
  <si>
    <t>XIII.1.</t>
  </si>
  <si>
    <t>Reklamos paslaugoms (produktams) sąnaudos</t>
  </si>
  <si>
    <t>XIII.2.</t>
  </si>
  <si>
    <t>Privalomo vartotojų informavimo, įskaitant tinklalapio palaikymą, sąnaudos</t>
  </si>
  <si>
    <t>XIII.3.</t>
  </si>
  <si>
    <t>Prekės ženklo, įvaizdžio sąnaudos</t>
  </si>
  <si>
    <t>XIII.4.</t>
  </si>
  <si>
    <t>Rinkos tyrimų sąnaudos</t>
  </si>
  <si>
    <t>XIII.5.</t>
  </si>
  <si>
    <t>Sąskaitų vartotojams parengimo, pateikimo sąnaudos</t>
  </si>
  <si>
    <t>XIII.6.</t>
  </si>
  <si>
    <t>Vartotojų mokėjimų administravimo, surinkimo sąnaudos</t>
  </si>
  <si>
    <t>XIII.7.</t>
  </si>
  <si>
    <t>Reprezentacijos sąnaudos</t>
  </si>
  <si>
    <t>XIII.8.</t>
  </si>
  <si>
    <t>Švietimo ir konsultavimo sąnaudos1</t>
  </si>
  <si>
    <t>XIII.9.</t>
  </si>
  <si>
    <t>XIII.10.</t>
  </si>
  <si>
    <t>XIV.</t>
  </si>
  <si>
    <t>ŠILUMOS ŪKIO TURTO NUOMOS, KONCESIJOS SĄNAUDOS</t>
  </si>
  <si>
    <t>XIV.1.</t>
  </si>
  <si>
    <t>Šilumos ūkio turto nuomos, koncesijos sąnaudos</t>
  </si>
  <si>
    <t>XIV.2.</t>
  </si>
  <si>
    <t>XV.</t>
  </si>
  <si>
    <t>KITOS PASTOVIOSIOS SĄNAUDOS</t>
  </si>
  <si>
    <t>XV.1.</t>
  </si>
  <si>
    <t>Turto draudimo sąnaudos</t>
  </si>
  <si>
    <t>XV.2.</t>
  </si>
  <si>
    <t>Veiklos rizikos draudimo sąnaudos</t>
  </si>
  <si>
    <t>XV.3.</t>
  </si>
  <si>
    <t>Audito (finansinių ataskaitų) sąnaudos</t>
  </si>
  <si>
    <t>XV.4.</t>
  </si>
  <si>
    <t>Audito (reguliuojamos veiklos ataskaitų) sąnaudos</t>
  </si>
  <si>
    <t>XV.5.</t>
  </si>
  <si>
    <t>Audito (kito) sąnaudos</t>
  </si>
  <si>
    <t>XV.6.</t>
  </si>
  <si>
    <t>Skolų išieškojimo sąnaudos</t>
  </si>
  <si>
    <t>XV.7.</t>
  </si>
  <si>
    <t>Narystės, stojamųjų įmokų sąnaudos</t>
  </si>
  <si>
    <t>XV.8.</t>
  </si>
  <si>
    <t>Likviduoto, nurašyto turto sąnaudos</t>
  </si>
  <si>
    <t>XV.9.</t>
  </si>
  <si>
    <t>Nurašytų atsiskaitomųjų karšto vandens apskaitos prietaisų sąnaudos</t>
  </si>
  <si>
    <t>XV.10.</t>
  </si>
  <si>
    <t>Labdara, parama, švietimas</t>
  </si>
  <si>
    <t>XV.11.</t>
  </si>
  <si>
    <t>Beviltiškos skolos</t>
  </si>
  <si>
    <t>XV.12.</t>
  </si>
  <si>
    <t>Priskaitytos baudos ir delspinigiai</t>
  </si>
  <si>
    <t>XV.13.</t>
  </si>
  <si>
    <t>Tantjemos</t>
  </si>
  <si>
    <t>XV.14.</t>
  </si>
  <si>
    <t>XV.15.</t>
  </si>
  <si>
    <t>IŠ VISO (tiesioginių, netiesioginių, bendrųjų sąnaudų):</t>
  </si>
  <si>
    <t>Pastabos:</t>
  </si>
  <si>
    <t>1. Nurodomos sąnaudos pagal Lietuvos Respublikos energijos vartojimo efektyvumo didinimo įstatymo nuostatas.</t>
  </si>
  <si>
    <t>2. Papildomai nurodoma tiek centralizuoto šilumos tiekimo (CŠT) sistemų, pagal kiek ūkio subjektas vykdo reguliavimo apskaitos atskyrimą ir sąnaudų paskirstymą.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</si>
</sst>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86"/>
      <scheme val="minor"/>
    </font>
    <font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b/>
      <sz val="11"/>
      <name val="Calibri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5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4" fillId="2" borderId="0" xfId="1" applyFont="1" applyFill="1"/>
    <xf numFmtId="0" fontId="5" fillId="3" borderId="0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right"/>
    </xf>
    <xf numFmtId="0" fontId="4" fillId="2" borderId="0" xfId="1" applyFont="1" applyFill="1" applyAlignment="1">
      <alignment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 vertical="center" wrapText="1"/>
    </xf>
    <xf numFmtId="0" fontId="7" fillId="5" borderId="24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29" xfId="1" applyFont="1" applyFill="1" applyBorder="1" applyAlignment="1">
      <alignment horizontal="center" vertical="center" wrapText="1"/>
    </xf>
    <xf numFmtId="0" fontId="7" fillId="5" borderId="30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6" fillId="4" borderId="33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 wrapText="1"/>
    </xf>
    <xf numFmtId="0" fontId="7" fillId="5" borderId="35" xfId="1" applyFont="1" applyFill="1" applyBorder="1" applyAlignment="1">
      <alignment horizontal="center" vertical="center" wrapText="1"/>
    </xf>
    <xf numFmtId="0" fontId="7" fillId="5" borderId="36" xfId="1" applyFont="1" applyFill="1" applyBorder="1" applyAlignment="1">
      <alignment horizontal="center" vertical="center" wrapText="1"/>
    </xf>
    <xf numFmtId="0" fontId="7" fillId="5" borderId="37" xfId="1" applyFont="1" applyFill="1" applyBorder="1" applyAlignment="1">
      <alignment horizontal="center" vertical="center" wrapText="1"/>
    </xf>
    <xf numFmtId="0" fontId="7" fillId="5" borderId="38" xfId="1" applyFont="1" applyFill="1" applyBorder="1" applyAlignment="1">
      <alignment horizontal="center" vertical="center" wrapText="1"/>
    </xf>
    <xf numFmtId="0" fontId="7" fillId="5" borderId="39" xfId="1" applyFont="1" applyFill="1" applyBorder="1" applyAlignment="1">
      <alignment horizontal="center" vertical="center" wrapText="1"/>
    </xf>
    <xf numFmtId="0" fontId="6" fillId="4" borderId="40" xfId="2" applyFont="1" applyFill="1" applyBorder="1" applyAlignment="1">
      <alignment horizontal="left" vertical="center"/>
    </xf>
    <xf numFmtId="0" fontId="9" fillId="5" borderId="41" xfId="2" applyFont="1" applyFill="1" applyBorder="1" applyAlignment="1">
      <alignment horizontal="left" vertical="center"/>
    </xf>
    <xf numFmtId="0" fontId="9" fillId="5" borderId="42" xfId="2" applyFont="1" applyFill="1" applyBorder="1" applyAlignment="1">
      <alignment horizontal="left" vertical="center"/>
    </xf>
    <xf numFmtId="0" fontId="9" fillId="5" borderId="43" xfId="2" applyFont="1" applyFill="1" applyBorder="1" applyAlignment="1">
      <alignment horizontal="left" vertical="center"/>
    </xf>
    <xf numFmtId="1" fontId="4" fillId="4" borderId="44" xfId="1" applyNumberFormat="1" applyFont="1" applyFill="1" applyBorder="1" applyAlignment="1">
      <alignment horizontal="center" vertical="center"/>
    </xf>
    <xf numFmtId="1" fontId="4" fillId="4" borderId="14" xfId="1" applyNumberFormat="1" applyFont="1" applyFill="1" applyBorder="1" applyAlignment="1">
      <alignment horizontal="center"/>
    </xf>
    <xf numFmtId="1" fontId="4" fillId="4" borderId="15" xfId="1" applyNumberFormat="1" applyFont="1" applyFill="1" applyBorder="1" applyAlignment="1">
      <alignment horizontal="center"/>
    </xf>
    <xf numFmtId="1" fontId="4" fillId="4" borderId="16" xfId="1" applyNumberFormat="1" applyFont="1" applyFill="1" applyBorder="1" applyAlignment="1">
      <alignment horizontal="center"/>
    </xf>
    <xf numFmtId="1" fontId="4" fillId="4" borderId="20" xfId="1" applyNumberFormat="1" applyFont="1" applyFill="1" applyBorder="1" applyAlignment="1">
      <alignment horizontal="center"/>
    </xf>
    <xf numFmtId="0" fontId="4" fillId="4" borderId="14" xfId="2" applyFont="1" applyFill="1" applyBorder="1" applyAlignment="1">
      <alignment horizontal="left" vertical="center"/>
    </xf>
    <xf numFmtId="0" fontId="10" fillId="5" borderId="45" xfId="2" applyFont="1" applyFill="1" applyBorder="1" applyAlignment="1">
      <alignment horizontal="left" vertical="center"/>
    </xf>
    <xf numFmtId="0" fontId="10" fillId="5" borderId="46" xfId="2" applyFont="1" applyFill="1" applyBorder="1" applyAlignment="1">
      <alignment horizontal="left" vertical="center"/>
    </xf>
    <xf numFmtId="0" fontId="10" fillId="5" borderId="47" xfId="2" applyFont="1" applyFill="1" applyBorder="1" applyAlignment="1">
      <alignment horizontal="left" vertical="center"/>
    </xf>
    <xf numFmtId="1" fontId="4" fillId="4" borderId="48" xfId="1" applyNumberFormat="1" applyFont="1" applyFill="1" applyBorder="1" applyAlignment="1">
      <alignment horizontal="center" vertical="center"/>
    </xf>
    <xf numFmtId="1" fontId="4" fillId="4" borderId="14" xfId="1" applyNumberFormat="1" applyFont="1" applyFill="1" applyBorder="1" applyAlignment="1">
      <alignment horizontal="right"/>
    </xf>
    <xf numFmtId="1" fontId="4" fillId="4" borderId="15" xfId="1" applyNumberFormat="1" applyFont="1" applyFill="1" applyBorder="1" applyAlignment="1">
      <alignment horizontal="right"/>
    </xf>
    <xf numFmtId="1" fontId="4" fillId="4" borderId="16" xfId="1" applyNumberFormat="1" applyFont="1" applyFill="1" applyBorder="1" applyAlignment="1">
      <alignment horizontal="right"/>
    </xf>
    <xf numFmtId="1" fontId="4" fillId="5" borderId="16" xfId="1" applyNumberFormat="1" applyFont="1" applyFill="1" applyBorder="1" applyAlignment="1">
      <alignment horizontal="right"/>
    </xf>
    <xf numFmtId="1" fontId="4" fillId="0" borderId="14" xfId="1" applyNumberFormat="1" applyFont="1" applyFill="1" applyBorder="1" applyAlignment="1" applyProtection="1">
      <alignment horizontal="right"/>
      <protection locked="0"/>
    </xf>
    <xf numFmtId="1" fontId="4" fillId="0" borderId="15" xfId="1" applyNumberFormat="1" applyFont="1" applyFill="1" applyBorder="1" applyAlignment="1" applyProtection="1">
      <alignment horizontal="right"/>
      <protection locked="0"/>
    </xf>
    <xf numFmtId="1" fontId="4" fillId="0" borderId="16" xfId="1" applyNumberFormat="1" applyFont="1" applyFill="1" applyBorder="1" applyAlignment="1" applyProtection="1">
      <alignment horizontal="right"/>
      <protection locked="0"/>
    </xf>
    <xf numFmtId="1" fontId="4" fillId="0" borderId="20" xfId="1" applyNumberFormat="1" applyFont="1" applyFill="1" applyBorder="1" applyAlignment="1" applyProtection="1">
      <alignment horizontal="right"/>
      <protection locked="0"/>
    </xf>
    <xf numFmtId="0" fontId="6" fillId="4" borderId="14" xfId="2" applyFont="1" applyFill="1" applyBorder="1" applyAlignment="1">
      <alignment horizontal="left" vertical="center"/>
    </xf>
    <xf numFmtId="0" fontId="9" fillId="5" borderId="45" xfId="2" applyFont="1" applyFill="1" applyBorder="1" applyAlignment="1">
      <alignment horizontal="left" vertical="center"/>
    </xf>
    <xf numFmtId="0" fontId="9" fillId="5" borderId="46" xfId="2" applyFont="1" applyFill="1" applyBorder="1" applyAlignment="1">
      <alignment horizontal="left" vertical="center"/>
    </xf>
    <xf numFmtId="0" fontId="9" fillId="5" borderId="47" xfId="2" applyFont="1" applyFill="1" applyBorder="1" applyAlignment="1">
      <alignment horizontal="left" vertical="center"/>
    </xf>
    <xf numFmtId="1" fontId="4" fillId="4" borderId="14" xfId="1" applyNumberFormat="1" applyFont="1" applyFill="1" applyBorder="1" applyAlignment="1">
      <alignment horizontal="center" vertical="center"/>
    </xf>
    <xf numFmtId="1" fontId="4" fillId="4" borderId="15" xfId="1" applyNumberFormat="1" applyFont="1" applyFill="1" applyBorder="1" applyAlignment="1">
      <alignment horizontal="center" vertical="center"/>
    </xf>
    <xf numFmtId="1" fontId="4" fillId="4" borderId="16" xfId="1" applyNumberFormat="1" applyFont="1" applyFill="1" applyBorder="1" applyAlignment="1">
      <alignment horizontal="center" vertical="center"/>
    </xf>
    <xf numFmtId="1" fontId="4" fillId="4" borderId="20" xfId="1" applyNumberFormat="1" applyFont="1" applyFill="1" applyBorder="1" applyAlignment="1">
      <alignment horizontal="center" vertical="center"/>
    </xf>
    <xf numFmtId="0" fontId="4" fillId="5" borderId="45" xfId="2" applyFont="1" applyFill="1" applyBorder="1" applyAlignment="1">
      <alignment horizontal="left" vertical="center"/>
    </xf>
    <xf numFmtId="0" fontId="4" fillId="5" borderId="46" xfId="2" applyFont="1" applyFill="1" applyBorder="1" applyAlignment="1">
      <alignment horizontal="left" vertical="center"/>
    </xf>
    <xf numFmtId="0" fontId="4" fillId="5" borderId="47" xfId="2" applyFont="1" applyFill="1" applyBorder="1" applyAlignment="1">
      <alignment horizontal="left" vertical="center"/>
    </xf>
    <xf numFmtId="0" fontId="9" fillId="5" borderId="45" xfId="2" applyFont="1" applyFill="1" applyBorder="1" applyAlignment="1">
      <alignment horizontal="left" vertical="center" wrapText="1"/>
    </xf>
    <xf numFmtId="0" fontId="9" fillId="5" borderId="46" xfId="2" applyFont="1" applyFill="1" applyBorder="1" applyAlignment="1">
      <alignment horizontal="left" vertical="center" wrapText="1"/>
    </xf>
    <xf numFmtId="0" fontId="9" fillId="5" borderId="47" xfId="2" applyFont="1" applyFill="1" applyBorder="1" applyAlignment="1">
      <alignment horizontal="left" vertical="center" wrapText="1"/>
    </xf>
    <xf numFmtId="0" fontId="10" fillId="5" borderId="46" xfId="2" applyFont="1" applyFill="1" applyBorder="1" applyAlignment="1">
      <alignment horizontal="left" vertical="center"/>
    </xf>
    <xf numFmtId="0" fontId="10" fillId="5" borderId="15" xfId="2" applyFont="1" applyFill="1" applyBorder="1" applyAlignment="1">
      <alignment horizontal="left" vertical="center"/>
    </xf>
    <xf numFmtId="0" fontId="4" fillId="5" borderId="46" xfId="2" applyFont="1" applyFill="1" applyBorder="1" applyAlignment="1">
      <alignment horizontal="left" vertical="center"/>
    </xf>
    <xf numFmtId="1" fontId="4" fillId="4" borderId="48" xfId="2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 wrapText="1"/>
    </xf>
    <xf numFmtId="0" fontId="10" fillId="4" borderId="14" xfId="2" applyFont="1" applyFill="1" applyBorder="1" applyAlignment="1">
      <alignment horizontal="left" vertical="center" wrapText="1"/>
    </xf>
    <xf numFmtId="0" fontId="10" fillId="5" borderId="46" xfId="2" applyFont="1" applyFill="1" applyBorder="1" applyAlignment="1">
      <alignment horizontal="left" vertical="center" wrapText="1"/>
    </xf>
    <xf numFmtId="0" fontId="10" fillId="5" borderId="15" xfId="2" applyFont="1" applyFill="1" applyBorder="1" applyAlignment="1">
      <alignment horizontal="left" vertical="center" wrapText="1"/>
    </xf>
    <xf numFmtId="0" fontId="10" fillId="5" borderId="46" xfId="2" applyFont="1" applyFill="1" applyBorder="1" applyAlignment="1">
      <alignment horizontal="left" vertical="center" wrapText="1"/>
    </xf>
    <xf numFmtId="0" fontId="10" fillId="5" borderId="15" xfId="2" applyFont="1" applyFill="1" applyBorder="1" applyAlignment="1">
      <alignment horizontal="left" vertical="center" wrapText="1"/>
    </xf>
    <xf numFmtId="0" fontId="10" fillId="5" borderId="45" xfId="2" applyFont="1" applyFill="1" applyBorder="1" applyAlignment="1">
      <alignment horizontal="left" vertical="center" wrapText="1"/>
    </xf>
    <xf numFmtId="0" fontId="6" fillId="5" borderId="45" xfId="2" applyFont="1" applyFill="1" applyBorder="1" applyAlignment="1">
      <alignment horizontal="left" vertical="center"/>
    </xf>
    <xf numFmtId="0" fontId="6" fillId="5" borderId="46" xfId="2" applyFont="1" applyFill="1" applyBorder="1" applyAlignment="1">
      <alignment horizontal="left" vertical="center"/>
    </xf>
    <xf numFmtId="0" fontId="6" fillId="5" borderId="47" xfId="2" applyFont="1" applyFill="1" applyBorder="1" applyAlignment="1">
      <alignment horizontal="left" vertical="center"/>
    </xf>
    <xf numFmtId="0" fontId="4" fillId="4" borderId="14" xfId="2" applyFont="1" applyFill="1" applyBorder="1" applyAlignment="1">
      <alignment horizontal="left" vertical="center" wrapText="1"/>
    </xf>
    <xf numFmtId="0" fontId="4" fillId="5" borderId="45" xfId="2" applyFont="1" applyFill="1" applyBorder="1" applyAlignment="1">
      <alignment horizontal="left" vertical="center" wrapText="1"/>
    </xf>
    <xf numFmtId="0" fontId="4" fillId="5" borderId="46" xfId="2" applyFont="1" applyFill="1" applyBorder="1" applyAlignment="1">
      <alignment horizontal="left" vertical="center" wrapText="1"/>
    </xf>
    <xf numFmtId="0" fontId="4" fillId="5" borderId="47" xfId="2" applyFont="1" applyFill="1" applyBorder="1" applyAlignment="1">
      <alignment horizontal="left" vertical="center" wrapText="1"/>
    </xf>
    <xf numFmtId="0" fontId="10" fillId="5" borderId="47" xfId="2" applyFont="1" applyFill="1" applyBorder="1" applyAlignment="1">
      <alignment horizontal="left" vertical="center" wrapText="1"/>
    </xf>
    <xf numFmtId="1" fontId="4" fillId="5" borderId="14" xfId="1" applyNumberFormat="1" applyFont="1" applyFill="1" applyBorder="1" applyAlignment="1">
      <alignment horizontal="right"/>
    </xf>
    <xf numFmtId="1" fontId="4" fillId="5" borderId="15" xfId="1" applyNumberFormat="1" applyFont="1" applyFill="1" applyBorder="1" applyAlignment="1">
      <alignment horizontal="right"/>
    </xf>
    <xf numFmtId="0" fontId="10" fillId="4" borderId="14" xfId="2" applyFont="1" applyFill="1" applyBorder="1" applyAlignment="1">
      <alignment horizontal="left" vertical="top" wrapText="1"/>
    </xf>
    <xf numFmtId="1" fontId="4" fillId="5" borderId="16" xfId="1" applyNumberFormat="1" applyFont="1" applyFill="1" applyBorder="1"/>
    <xf numFmtId="1" fontId="4" fillId="0" borderId="14" xfId="1" applyNumberFormat="1" applyFont="1" applyFill="1" applyBorder="1" applyProtection="1">
      <protection locked="0"/>
    </xf>
    <xf numFmtId="1" fontId="4" fillId="0" borderId="16" xfId="1" applyNumberFormat="1" applyFont="1" applyFill="1" applyBorder="1" applyProtection="1">
      <protection locked="0"/>
    </xf>
    <xf numFmtId="1" fontId="4" fillId="0" borderId="15" xfId="1" applyNumberFormat="1" applyFont="1" applyFill="1" applyBorder="1" applyProtection="1">
      <protection locked="0"/>
    </xf>
    <xf numFmtId="1" fontId="4" fillId="0" borderId="20" xfId="1" applyNumberFormat="1" applyFont="1" applyFill="1" applyBorder="1" applyProtection="1">
      <protection locked="0"/>
    </xf>
    <xf numFmtId="1" fontId="4" fillId="4" borderId="14" xfId="1" applyNumberFormat="1" applyFont="1" applyFill="1" applyBorder="1"/>
    <xf numFmtId="1" fontId="4" fillId="4" borderId="15" xfId="1" applyNumberFormat="1" applyFont="1" applyFill="1" applyBorder="1"/>
    <xf numFmtId="1" fontId="4" fillId="4" borderId="16" xfId="1" applyNumberFormat="1" applyFont="1" applyFill="1" applyBorder="1"/>
    <xf numFmtId="0" fontId="10" fillId="4" borderId="31" xfId="2" applyFont="1" applyFill="1" applyBorder="1" applyAlignment="1">
      <alignment horizontal="left" vertical="center" wrapText="1"/>
    </xf>
    <xf numFmtId="0" fontId="10" fillId="5" borderId="49" xfId="2" applyFont="1" applyFill="1" applyBorder="1" applyAlignment="1">
      <alignment horizontal="left" vertical="center" wrapText="1"/>
    </xf>
    <xf numFmtId="0" fontId="10" fillId="5" borderId="27" xfId="2" applyFont="1" applyFill="1" applyBorder="1" applyAlignment="1">
      <alignment horizontal="left" vertical="center" wrapText="1"/>
    </xf>
    <xf numFmtId="1" fontId="4" fillId="4" borderId="31" xfId="1" applyNumberFormat="1" applyFont="1" applyFill="1" applyBorder="1" applyAlignment="1">
      <alignment horizontal="right"/>
    </xf>
    <xf numFmtId="1" fontId="4" fillId="4" borderId="27" xfId="1" applyNumberFormat="1" applyFont="1" applyFill="1" applyBorder="1" applyAlignment="1">
      <alignment horizontal="right"/>
    </xf>
    <xf numFmtId="1" fontId="4" fillId="4" borderId="17" xfId="1" applyNumberFormat="1" applyFont="1" applyFill="1" applyBorder="1" applyAlignment="1">
      <alignment horizontal="right"/>
    </xf>
    <xf numFmtId="1" fontId="4" fillId="5" borderId="17" xfId="1" applyNumberFormat="1" applyFont="1" applyFill="1" applyBorder="1" applyAlignment="1">
      <alignment horizontal="right"/>
    </xf>
    <xf numFmtId="0" fontId="6" fillId="4" borderId="50" xfId="1" applyFont="1" applyFill="1" applyBorder="1" applyAlignment="1">
      <alignment horizontal="right"/>
    </xf>
    <xf numFmtId="0" fontId="6" fillId="4" borderId="51" xfId="1" applyFont="1" applyFill="1" applyBorder="1" applyAlignment="1">
      <alignment horizontal="right"/>
    </xf>
    <xf numFmtId="0" fontId="6" fillId="4" borderId="52" xfId="1" applyFont="1" applyFill="1" applyBorder="1" applyAlignment="1">
      <alignment horizontal="right"/>
    </xf>
    <xf numFmtId="1" fontId="4" fillId="4" borderId="53" xfId="1" applyNumberFormat="1" applyFont="1" applyFill="1" applyBorder="1" applyAlignment="1">
      <alignment horizontal="center" vertical="center"/>
    </xf>
    <xf numFmtId="1" fontId="4" fillId="4" borderId="54" xfId="1" applyNumberFormat="1" applyFont="1" applyFill="1" applyBorder="1" applyAlignment="1">
      <alignment horizontal="center" vertical="center"/>
    </xf>
    <xf numFmtId="1" fontId="4" fillId="4" borderId="55" xfId="1" applyNumberFormat="1" applyFont="1" applyFill="1" applyBorder="1" applyAlignment="1">
      <alignment horizontal="center" vertical="center"/>
    </xf>
    <xf numFmtId="1" fontId="4" fillId="4" borderId="56" xfId="1" applyNumberFormat="1" applyFont="1" applyFill="1" applyBorder="1" applyAlignment="1">
      <alignment horizontal="center" vertical="center"/>
    </xf>
    <xf numFmtId="1" fontId="4" fillId="4" borderId="57" xfId="1" applyNumberFormat="1" applyFont="1" applyFill="1" applyBorder="1" applyAlignment="1">
      <alignment horizontal="center" vertical="center"/>
    </xf>
    <xf numFmtId="0" fontId="2" fillId="2" borderId="0" xfId="1" applyFont="1" applyFill="1"/>
    <xf numFmtId="0" fontId="4" fillId="2" borderId="0" xfId="1" applyFont="1" applyFill="1" applyAlignment="1">
      <alignment horizontal="left" wrapText="1"/>
    </xf>
  </cellXfs>
  <cellStyles count="3">
    <cellStyle name="Įprastas" xfId="0" builtinId="0"/>
    <cellStyle name="Normal 2 9" xfId="1"/>
    <cellStyle name="Paprastas 2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imondasA\AppData\Local\Microsoft\Windows\INetCache\Content.Outlook\PQEI0F8U\Metinis%20ataskaitu%20rinkinys%20(silumos%20sektoriu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15"/>
      <sheetName val="Forma 1"/>
      <sheetName val="Forma 2"/>
      <sheetName val="Forma 3"/>
      <sheetName val="Forma 4"/>
      <sheetName val="Forma 5"/>
      <sheetName val="Forma 6"/>
      <sheetName val="Forma 8"/>
      <sheetName val="Forma 7"/>
      <sheetName val="Forma 9"/>
      <sheetName val="Forma 10"/>
      <sheetName val="Forma 11"/>
      <sheetName val="Forma 12"/>
      <sheetName val="Forma 13"/>
      <sheetName val="Instrukcija"/>
      <sheetName val="Lapas1"/>
    </sheetNames>
    <sheetDataSet>
      <sheetData sheetId="0"/>
      <sheetData sheetId="1"/>
      <sheetData sheetId="2">
        <row r="14">
          <cell r="C14" t="str">
            <v>Kitos sąnaudos, susijusios su šilumos įsigijimu (nurodyti)</v>
          </cell>
        </row>
        <row r="19">
          <cell r="C19" t="str">
            <v>Dyzelinas</v>
          </cell>
        </row>
        <row r="20">
          <cell r="C20" t="str">
            <v>Šiaudai</v>
          </cell>
        </row>
        <row r="21">
          <cell r="C21" t="str">
            <v>Granulės</v>
          </cell>
        </row>
        <row r="22">
          <cell r="C22" t="str">
            <v>Anglys</v>
          </cell>
        </row>
        <row r="23">
          <cell r="C23" t="str">
            <v>Kitos sąnaudos, susijusios su kuro įsigijimu (nurodyti)</v>
          </cell>
        </row>
        <row r="26">
          <cell r="C26" t="str">
            <v>Kitos sąnaudos, susijusios su elektros energijos TR įsigijimu (nurodyti)</v>
          </cell>
        </row>
        <row r="30">
          <cell r="C30" t="str">
            <v>Kitos sąnaudos, susijusios su vandens TR įsigijimu (nurodyti)</v>
          </cell>
        </row>
        <row r="33">
          <cell r="C33" t="str">
            <v>Kitos sąnaudos, susijusios su ATL įsigijimu (nurodyti)</v>
          </cell>
        </row>
        <row r="34">
          <cell r="C34" t="str">
            <v>Kitos sąnaudos, susijusios su ATL įsigijimu (nurodyti)</v>
          </cell>
        </row>
        <row r="41">
          <cell r="C41" t="str">
            <v>Kitos kintamosios sąnaudos (nurodyti)</v>
          </cell>
        </row>
        <row r="42">
          <cell r="C42" t="str">
            <v>Kitos kintamosios sąnaudos (nurodyti)</v>
          </cell>
        </row>
        <row r="93">
          <cell r="C93" t="str">
            <v>Kitos einamojo remonto ir aptarnavimo sąnaudos (nurodyti)</v>
          </cell>
        </row>
        <row r="94">
          <cell r="C94" t="str">
            <v>Kitos einamojo remonto ir aptarnavimo sąnaudos (nurodyti)</v>
          </cell>
        </row>
        <row r="95">
          <cell r="C95" t="str">
            <v>Kitos einamojo remonto ir aptarnavimo sąnaudos (nurodyti)</v>
          </cell>
        </row>
        <row r="96">
          <cell r="C96" t="str">
            <v>Kitos einamojo remonto ir aptarnavimo sąnaudos (nurodyti)</v>
          </cell>
        </row>
        <row r="97">
          <cell r="C97" t="str">
            <v>Kitos einamojo remonto ir aptarnavimo sąnaudos (nurodyti)</v>
          </cell>
        </row>
        <row r="106">
          <cell r="C106" t="str">
            <v>Kitos su personalu susijusios sąnaudos (nurodyti)</v>
          </cell>
        </row>
        <row r="107">
          <cell r="C107" t="str">
            <v>Kitos su personalu susijusios sąnaudos (nurodyti)</v>
          </cell>
        </row>
        <row r="108">
          <cell r="C108" t="str">
            <v>Kitos su personalu susijusios sąnaudos (nurodyti)</v>
          </cell>
        </row>
        <row r="109">
          <cell r="C109" t="str">
            <v>Kitos su personalu susijusios sąnaudos (nurodyti)</v>
          </cell>
        </row>
        <row r="117">
          <cell r="C117" t="str">
            <v>Kitų mokesčių valstybei sąnaudos (nurodyti)</v>
          </cell>
        </row>
        <row r="122">
          <cell r="C122" t="str">
            <v>Kitos finansinės sąnaudos (nurodyti)</v>
          </cell>
        </row>
        <row r="123">
          <cell r="C123" t="str">
            <v>Kitos finansinės sąnaudos (nurodyti)</v>
          </cell>
        </row>
        <row r="134">
          <cell r="C134" t="str">
            <v>Kitos administravimo sąnaudos (nurodyti)</v>
          </cell>
        </row>
        <row r="135">
          <cell r="C135" t="str">
            <v>Kitos administravimo sąnaudos (nurodyti)</v>
          </cell>
        </row>
        <row r="136">
          <cell r="C136" t="str">
            <v>Kitos administravimo sąnaudos (nurodyti)</v>
          </cell>
        </row>
        <row r="146">
          <cell r="C146" t="str">
            <v>Kitos rinkodaros, pardavimų sąnaudos (nurodyti)</v>
          </cell>
        </row>
        <row r="147">
          <cell r="C147" t="str">
            <v>Kitos rinkodaros, pardavimų sąnaudos (nurodyti)</v>
          </cell>
        </row>
        <row r="150">
          <cell r="C150" t="str">
            <v>Kitos sąnaudos, susijusios su šilumos ūkio turto nuoma, koncesija (nurodyti)</v>
          </cell>
        </row>
        <row r="165">
          <cell r="C165" t="str">
            <v>Kitos pastoviosios sąnaudos (nurodyti)</v>
          </cell>
        </row>
        <row r="166">
          <cell r="C166" t="str">
            <v>Kitos pastoviosios sąnaudos (nurodyti)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E9" t="str">
            <v>CŠT sistema 1</v>
          </cell>
          <cell r="AW9" t="str">
            <v>CŠT sistema 2</v>
          </cell>
          <cell r="BO9" t="str">
            <v>CŠT sistema 3</v>
          </cell>
          <cell r="CG9" t="str">
            <v>CŠT sistema 4</v>
          </cell>
          <cell r="CY9" t="str">
            <v>CŠT sistema 5</v>
          </cell>
          <cell r="DQ9" t="str">
            <v>CŠT sistema 6</v>
          </cell>
          <cell r="EI9" t="str">
            <v>CŠT sistema 7</v>
          </cell>
        </row>
        <row r="13">
          <cell r="L13" t="str">
            <v xml:space="preserve">... paslauga (produktas) </v>
          </cell>
          <cell r="O13" t="str">
            <v xml:space="preserve">... paslauga (produktas) </v>
          </cell>
          <cell r="P13" t="str">
            <v xml:space="preserve">... paslauga (produktas) </v>
          </cell>
          <cell r="T13" t="str">
            <v xml:space="preserve">... paslauga (produktas) </v>
          </cell>
          <cell r="U13" t="str">
            <v xml:space="preserve">... paslauga (produktas) </v>
          </cell>
          <cell r="X13" t="str">
            <v xml:space="preserve">... paslauga (produktas) </v>
          </cell>
          <cell r="Y13" t="str">
            <v xml:space="preserve">... paslauga (produktas) </v>
          </cell>
          <cell r="AB13" t="str">
            <v xml:space="preserve">... paslauga (produktas) </v>
          </cell>
          <cell r="AD13" t="str">
            <v xml:space="preserve">... paslauga (produktas) </v>
          </cell>
          <cell r="AI13" t="str">
            <v xml:space="preserve">... paslauga (produktas) </v>
          </cell>
          <cell r="AL13" t="str">
            <v xml:space="preserve">... paslauga (produktas) </v>
          </cell>
          <cell r="AM13" t="str">
            <v xml:space="preserve">... paslauga (produktas) </v>
          </cell>
          <cell r="AQ13" t="str">
            <v xml:space="preserve">... paslauga (produktas) </v>
          </cell>
          <cell r="AR13" t="str">
            <v xml:space="preserve">... paslauga (produktas) </v>
          </cell>
          <cell r="AU13" t="str">
            <v xml:space="preserve">... paslauga (produktas) </v>
          </cell>
          <cell r="AV13" t="str">
            <v xml:space="preserve">... paslauga (produktas) </v>
          </cell>
          <cell r="BA13" t="str">
            <v xml:space="preserve">... paslauga (produktas) </v>
          </cell>
          <cell r="BD13" t="str">
            <v xml:space="preserve">... paslauga (produktas) </v>
          </cell>
          <cell r="BE13" t="str">
            <v xml:space="preserve">... paslauga (produktas) </v>
          </cell>
          <cell r="BI13" t="str">
            <v xml:space="preserve">... paslauga (produktas) </v>
          </cell>
          <cell r="BJ13" t="str">
            <v xml:space="preserve">... paslauga (produktas) </v>
          </cell>
          <cell r="BM13" t="str">
            <v xml:space="preserve">... paslauga (produktas) </v>
          </cell>
          <cell r="BN13" t="str">
            <v xml:space="preserve">... paslauga (produktas) </v>
          </cell>
          <cell r="BS13" t="str">
            <v xml:space="preserve">... paslauga (produktas) </v>
          </cell>
          <cell r="BV13" t="str">
            <v xml:space="preserve">... paslauga (produktas) </v>
          </cell>
          <cell r="BW13" t="str">
            <v xml:space="preserve">... paslauga (produktas) </v>
          </cell>
          <cell r="CA13" t="str">
            <v xml:space="preserve">... paslauga (produktas) </v>
          </cell>
          <cell r="CB13" t="str">
            <v xml:space="preserve">... paslauga (produktas) </v>
          </cell>
          <cell r="CE13" t="str">
            <v xml:space="preserve">... paslauga (produktas) </v>
          </cell>
          <cell r="CF13" t="str">
            <v xml:space="preserve">... paslauga (produktas) </v>
          </cell>
          <cell r="CK13" t="str">
            <v xml:space="preserve">... paslauga (produktas) </v>
          </cell>
          <cell r="CN13" t="str">
            <v xml:space="preserve">... paslauga (produktas) </v>
          </cell>
          <cell r="CO13" t="str">
            <v xml:space="preserve">... paslauga (produktas) </v>
          </cell>
          <cell r="CS13" t="str">
            <v xml:space="preserve">... paslauga (produktas) </v>
          </cell>
          <cell r="CT13" t="str">
            <v xml:space="preserve">... paslauga (produktas) </v>
          </cell>
          <cell r="CW13" t="str">
            <v xml:space="preserve">... paslauga (produktas) </v>
          </cell>
          <cell r="CX13" t="str">
            <v xml:space="preserve">... paslauga (produktas) </v>
          </cell>
          <cell r="DC13" t="str">
            <v xml:space="preserve">... paslauga (produktas) </v>
          </cell>
          <cell r="DF13" t="str">
            <v xml:space="preserve">... paslauga (produktas) </v>
          </cell>
          <cell r="DG13" t="str">
            <v xml:space="preserve">... paslauga (produktas) </v>
          </cell>
          <cell r="DK13" t="str">
            <v xml:space="preserve">... paslauga (produktas) </v>
          </cell>
          <cell r="DL13" t="str">
            <v xml:space="preserve">... paslauga (produktas) </v>
          </cell>
          <cell r="DO13" t="str">
            <v xml:space="preserve">... paslauga (produktas) </v>
          </cell>
          <cell r="DP13" t="str">
            <v xml:space="preserve">... paslauga (produktas) </v>
          </cell>
          <cell r="DU13" t="str">
            <v xml:space="preserve">... paslauga (produktas) </v>
          </cell>
          <cell r="DX13" t="str">
            <v xml:space="preserve">... paslauga (produktas) </v>
          </cell>
          <cell r="DY13" t="str">
            <v xml:space="preserve">... paslauga (produktas) </v>
          </cell>
          <cell r="EC13" t="str">
            <v xml:space="preserve">... paslauga (produktas) </v>
          </cell>
          <cell r="ED13" t="str">
            <v xml:space="preserve">... paslauga (produktas) </v>
          </cell>
          <cell r="EG13" t="str">
            <v xml:space="preserve">... paslauga (produktas) </v>
          </cell>
          <cell r="EH13" t="str">
            <v xml:space="preserve">... paslauga (produktas) </v>
          </cell>
          <cell r="EM13" t="str">
            <v xml:space="preserve">... paslauga (produktas) </v>
          </cell>
          <cell r="EP13" t="str">
            <v xml:space="preserve">... paslauga (produktas) </v>
          </cell>
          <cell r="EQ13" t="str">
            <v xml:space="preserve">... paslauga (produktas) </v>
          </cell>
          <cell r="EU13" t="str">
            <v xml:space="preserve">... paslauga (produktas) </v>
          </cell>
          <cell r="EV13" t="str">
            <v xml:space="preserve">... paslauga (produktas) </v>
          </cell>
          <cell r="EY13" t="str">
            <v xml:space="preserve">... paslauga (produktas) </v>
          </cell>
          <cell r="EZ13" t="str">
            <v xml:space="preserve">... paslauga (produktas) </v>
          </cell>
        </row>
        <row r="19">
          <cell r="AA19">
            <v>0</v>
          </cell>
          <cell r="AB19">
            <v>0</v>
          </cell>
          <cell r="AD19">
            <v>0</v>
          </cell>
        </row>
        <row r="20">
          <cell r="AA20">
            <v>0</v>
          </cell>
          <cell r="AB20">
            <v>0</v>
          </cell>
          <cell r="AD20">
            <v>0</v>
          </cell>
        </row>
        <row r="22">
          <cell r="AA22">
            <v>0</v>
          </cell>
          <cell r="AB22">
            <v>0</v>
          </cell>
          <cell r="AD22">
            <v>0</v>
          </cell>
        </row>
        <row r="23">
          <cell r="AA23">
            <v>0</v>
          </cell>
          <cell r="AB23">
            <v>0</v>
          </cell>
          <cell r="AD23">
            <v>0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5">
          <cell r="AA25">
            <v>0</v>
          </cell>
          <cell r="AB25">
            <v>0</v>
          </cell>
          <cell r="AD25">
            <v>0</v>
          </cell>
        </row>
        <row r="26">
          <cell r="AA26">
            <v>0</v>
          </cell>
          <cell r="AB26">
            <v>0</v>
          </cell>
          <cell r="AD26">
            <v>0</v>
          </cell>
        </row>
        <row r="27">
          <cell r="AA27">
            <v>0</v>
          </cell>
          <cell r="AB27">
            <v>0</v>
          </cell>
          <cell r="AD27">
            <v>0</v>
          </cell>
        </row>
        <row r="28">
          <cell r="AA28">
            <v>0</v>
          </cell>
          <cell r="AB28">
            <v>0</v>
          </cell>
          <cell r="AD28">
            <v>0</v>
          </cell>
        </row>
        <row r="29">
          <cell r="AA29">
            <v>0</v>
          </cell>
          <cell r="AB29">
            <v>0</v>
          </cell>
          <cell r="AD29">
            <v>0</v>
          </cell>
        </row>
        <row r="31">
          <cell r="AA31">
            <v>0</v>
          </cell>
          <cell r="AB31">
            <v>0</v>
          </cell>
          <cell r="AD31">
            <v>0</v>
          </cell>
        </row>
        <row r="32">
          <cell r="AA32">
            <v>0</v>
          </cell>
          <cell r="AB32">
            <v>0</v>
          </cell>
          <cell r="AD32">
            <v>0</v>
          </cell>
        </row>
        <row r="34">
          <cell r="AA34">
            <v>0</v>
          </cell>
          <cell r="AB34">
            <v>0</v>
          </cell>
          <cell r="AD34">
            <v>0</v>
          </cell>
        </row>
        <row r="35">
          <cell r="AA35">
            <v>0</v>
          </cell>
          <cell r="AB35">
            <v>0</v>
          </cell>
          <cell r="AD35">
            <v>0</v>
          </cell>
        </row>
        <row r="36">
          <cell r="AA36">
            <v>0</v>
          </cell>
          <cell r="AB36">
            <v>0</v>
          </cell>
          <cell r="AD36">
            <v>0</v>
          </cell>
        </row>
        <row r="38">
          <cell r="AA38">
            <v>0</v>
          </cell>
          <cell r="AB38">
            <v>0</v>
          </cell>
          <cell r="AD38">
            <v>0</v>
          </cell>
        </row>
        <row r="39">
          <cell r="AA39">
            <v>0</v>
          </cell>
          <cell r="AB39">
            <v>0</v>
          </cell>
          <cell r="AD39">
            <v>0</v>
          </cell>
        </row>
        <row r="40">
          <cell r="AA40">
            <v>0</v>
          </cell>
          <cell r="AB40">
            <v>0</v>
          </cell>
          <cell r="AD40">
            <v>0</v>
          </cell>
        </row>
        <row r="42">
          <cell r="AA42">
            <v>0</v>
          </cell>
          <cell r="AB42">
            <v>0</v>
          </cell>
          <cell r="AD42">
            <v>0</v>
          </cell>
        </row>
        <row r="43">
          <cell r="AA43">
            <v>0</v>
          </cell>
          <cell r="AB43">
            <v>0</v>
          </cell>
          <cell r="AD43">
            <v>0</v>
          </cell>
        </row>
        <row r="44">
          <cell r="AA44">
            <v>0</v>
          </cell>
          <cell r="AB44">
            <v>0</v>
          </cell>
          <cell r="AD44">
            <v>0</v>
          </cell>
        </row>
        <row r="45">
          <cell r="AA45">
            <v>0</v>
          </cell>
          <cell r="AB45">
            <v>0</v>
          </cell>
          <cell r="AD45">
            <v>0</v>
          </cell>
        </row>
        <row r="46">
          <cell r="AA46">
            <v>0</v>
          </cell>
          <cell r="AB46">
            <v>0</v>
          </cell>
          <cell r="AD46">
            <v>0</v>
          </cell>
        </row>
        <row r="47">
          <cell r="AA47">
            <v>0</v>
          </cell>
          <cell r="AB47">
            <v>0</v>
          </cell>
          <cell r="AD47">
            <v>0</v>
          </cell>
        </row>
        <row r="48">
          <cell r="AA48">
            <v>0</v>
          </cell>
          <cell r="AB48">
            <v>0</v>
          </cell>
          <cell r="AD48">
            <v>0</v>
          </cell>
        </row>
        <row r="50">
          <cell r="AA50">
            <v>0</v>
          </cell>
          <cell r="AB50">
            <v>0</v>
          </cell>
          <cell r="AD50">
            <v>0</v>
          </cell>
        </row>
        <row r="51">
          <cell r="AA51">
            <v>0</v>
          </cell>
          <cell r="AB51">
            <v>0</v>
          </cell>
          <cell r="AD51">
            <v>0</v>
          </cell>
        </row>
        <row r="52">
          <cell r="AA52">
            <v>0</v>
          </cell>
          <cell r="AB52">
            <v>0</v>
          </cell>
          <cell r="AD52">
            <v>0</v>
          </cell>
        </row>
        <row r="53">
          <cell r="AA53">
            <v>0</v>
          </cell>
          <cell r="AB53">
            <v>0</v>
          </cell>
          <cell r="AD53">
            <v>0</v>
          </cell>
        </row>
        <row r="54">
          <cell r="AA54">
            <v>0</v>
          </cell>
          <cell r="AB54">
            <v>0</v>
          </cell>
          <cell r="AD54">
            <v>0</v>
          </cell>
        </row>
        <row r="55">
          <cell r="AA55">
            <v>0</v>
          </cell>
          <cell r="AB55">
            <v>0</v>
          </cell>
          <cell r="AD55">
            <v>0</v>
          </cell>
        </row>
        <row r="56">
          <cell r="AA56">
            <v>0</v>
          </cell>
          <cell r="AB56">
            <v>0</v>
          </cell>
          <cell r="AD56">
            <v>0</v>
          </cell>
        </row>
        <row r="57">
          <cell r="AA57">
            <v>0</v>
          </cell>
          <cell r="AB57">
            <v>0</v>
          </cell>
          <cell r="AD57">
            <v>0</v>
          </cell>
        </row>
        <row r="58">
          <cell r="AA58">
            <v>0</v>
          </cell>
          <cell r="AB58">
            <v>0</v>
          </cell>
          <cell r="AD58">
            <v>0</v>
          </cell>
        </row>
        <row r="59">
          <cell r="AA59">
            <v>0</v>
          </cell>
          <cell r="AB59">
            <v>0</v>
          </cell>
          <cell r="AD59">
            <v>0</v>
          </cell>
        </row>
        <row r="60">
          <cell r="AA60">
            <v>0</v>
          </cell>
          <cell r="AB60">
            <v>0</v>
          </cell>
          <cell r="AD60">
            <v>0</v>
          </cell>
        </row>
        <row r="61">
          <cell r="AA61">
            <v>0</v>
          </cell>
          <cell r="AB61">
            <v>0</v>
          </cell>
          <cell r="AD61">
            <v>0</v>
          </cell>
        </row>
        <row r="62">
          <cell r="AA62">
            <v>0</v>
          </cell>
          <cell r="AB62">
            <v>0</v>
          </cell>
          <cell r="AD62">
            <v>0</v>
          </cell>
        </row>
        <row r="63">
          <cell r="AA63">
            <v>0</v>
          </cell>
          <cell r="AB63">
            <v>0</v>
          </cell>
          <cell r="AD63">
            <v>0</v>
          </cell>
        </row>
        <row r="64">
          <cell r="AA64">
            <v>0</v>
          </cell>
          <cell r="AB64">
            <v>0</v>
          </cell>
          <cell r="AD64">
            <v>0</v>
          </cell>
        </row>
        <row r="65">
          <cell r="AA65">
            <v>0</v>
          </cell>
          <cell r="AB65">
            <v>0</v>
          </cell>
          <cell r="AD65">
            <v>0</v>
          </cell>
        </row>
        <row r="66">
          <cell r="AA66">
            <v>0</v>
          </cell>
          <cell r="AB66">
            <v>0</v>
          </cell>
          <cell r="AD66">
            <v>0</v>
          </cell>
        </row>
        <row r="67">
          <cell r="AA67">
            <v>0</v>
          </cell>
          <cell r="AB67">
            <v>0</v>
          </cell>
          <cell r="AD67">
            <v>0</v>
          </cell>
        </row>
        <row r="68">
          <cell r="AA68">
            <v>0</v>
          </cell>
          <cell r="AB68">
            <v>0</v>
          </cell>
          <cell r="AD68">
            <v>0</v>
          </cell>
        </row>
        <row r="69">
          <cell r="AA69">
            <v>0</v>
          </cell>
          <cell r="AB69">
            <v>0</v>
          </cell>
          <cell r="AD69">
            <v>0</v>
          </cell>
        </row>
        <row r="70">
          <cell r="AA70">
            <v>0</v>
          </cell>
          <cell r="AB70">
            <v>0</v>
          </cell>
          <cell r="AD70">
            <v>0</v>
          </cell>
        </row>
        <row r="71">
          <cell r="AA71">
            <v>0</v>
          </cell>
          <cell r="AB71">
            <v>0</v>
          </cell>
          <cell r="AD71">
            <v>0</v>
          </cell>
        </row>
        <row r="72">
          <cell r="AA72">
            <v>0</v>
          </cell>
          <cell r="AB72">
            <v>0</v>
          </cell>
          <cell r="AD72">
            <v>0</v>
          </cell>
        </row>
        <row r="73">
          <cell r="AA73">
            <v>0</v>
          </cell>
          <cell r="AB73">
            <v>0</v>
          </cell>
          <cell r="AD73">
            <v>0</v>
          </cell>
        </row>
        <row r="74">
          <cell r="AA74">
            <v>0</v>
          </cell>
          <cell r="AB74">
            <v>0</v>
          </cell>
          <cell r="AD74">
            <v>150.28</v>
          </cell>
        </row>
        <row r="75">
          <cell r="AA75">
            <v>0</v>
          </cell>
          <cell r="AB75">
            <v>0</v>
          </cell>
          <cell r="AD75">
            <v>0</v>
          </cell>
        </row>
        <row r="76">
          <cell r="AA76">
            <v>0</v>
          </cell>
          <cell r="AB76">
            <v>0</v>
          </cell>
          <cell r="AD76">
            <v>0</v>
          </cell>
        </row>
        <row r="78">
          <cell r="AA78">
            <v>0</v>
          </cell>
          <cell r="AB78">
            <v>0</v>
          </cell>
          <cell r="AD78">
            <v>0</v>
          </cell>
        </row>
        <row r="79">
          <cell r="AA79">
            <v>0</v>
          </cell>
          <cell r="AB79">
            <v>0</v>
          </cell>
          <cell r="AD79">
            <v>0</v>
          </cell>
        </row>
        <row r="80">
          <cell r="AA80">
            <v>0</v>
          </cell>
          <cell r="AB80">
            <v>0</v>
          </cell>
          <cell r="AD80">
            <v>0</v>
          </cell>
        </row>
        <row r="81">
          <cell r="AA81">
            <v>0</v>
          </cell>
          <cell r="AB81">
            <v>0</v>
          </cell>
          <cell r="AD81">
            <v>0</v>
          </cell>
        </row>
        <row r="82">
          <cell r="AA82">
            <v>0</v>
          </cell>
          <cell r="AB82">
            <v>0</v>
          </cell>
          <cell r="AD82">
            <v>0</v>
          </cell>
        </row>
        <row r="83">
          <cell r="AA83">
            <v>0</v>
          </cell>
          <cell r="AB83">
            <v>0</v>
          </cell>
          <cell r="AD83">
            <v>0</v>
          </cell>
        </row>
        <row r="84">
          <cell r="AA84">
            <v>0</v>
          </cell>
          <cell r="AB84">
            <v>0</v>
          </cell>
          <cell r="AD84">
            <v>0</v>
          </cell>
        </row>
        <row r="85">
          <cell r="AA85">
            <v>0</v>
          </cell>
          <cell r="AB85">
            <v>0</v>
          </cell>
          <cell r="AD85">
            <v>0</v>
          </cell>
        </row>
        <row r="86">
          <cell r="AA86">
            <v>0</v>
          </cell>
          <cell r="AB86">
            <v>0</v>
          </cell>
          <cell r="AD86">
            <v>0</v>
          </cell>
        </row>
        <row r="87">
          <cell r="AA87">
            <v>0</v>
          </cell>
          <cell r="AB87">
            <v>0</v>
          </cell>
          <cell r="AD87">
            <v>0</v>
          </cell>
        </row>
        <row r="88">
          <cell r="AA88">
            <v>0</v>
          </cell>
          <cell r="AB88">
            <v>0</v>
          </cell>
          <cell r="AD88">
            <v>0</v>
          </cell>
        </row>
        <row r="89">
          <cell r="AA89">
            <v>0</v>
          </cell>
          <cell r="AB89">
            <v>0</v>
          </cell>
          <cell r="AD89">
            <v>0</v>
          </cell>
        </row>
        <row r="90">
          <cell r="AA90">
            <v>0</v>
          </cell>
          <cell r="AB90">
            <v>0</v>
          </cell>
          <cell r="AD90">
            <v>0</v>
          </cell>
        </row>
        <row r="91">
          <cell r="AA91">
            <v>0</v>
          </cell>
          <cell r="AB91">
            <v>0</v>
          </cell>
          <cell r="AD91">
            <v>0</v>
          </cell>
        </row>
        <row r="92">
          <cell r="AA92">
            <v>0</v>
          </cell>
          <cell r="AB92">
            <v>0</v>
          </cell>
          <cell r="AD92">
            <v>0</v>
          </cell>
        </row>
        <row r="93">
          <cell r="AA93">
            <v>0</v>
          </cell>
          <cell r="AB93">
            <v>0</v>
          </cell>
          <cell r="AD93">
            <v>0</v>
          </cell>
        </row>
        <row r="94">
          <cell r="AA94">
            <v>0</v>
          </cell>
          <cell r="AB94">
            <v>0</v>
          </cell>
          <cell r="AD94">
            <v>0</v>
          </cell>
        </row>
        <row r="95">
          <cell r="AA95">
            <v>0</v>
          </cell>
          <cell r="AB95">
            <v>0</v>
          </cell>
          <cell r="AD95">
            <v>0</v>
          </cell>
        </row>
        <row r="96">
          <cell r="AA96">
            <v>0</v>
          </cell>
          <cell r="AB96">
            <v>0</v>
          </cell>
          <cell r="AD96">
            <v>0</v>
          </cell>
        </row>
        <row r="97">
          <cell r="AA97">
            <v>0</v>
          </cell>
          <cell r="AB97">
            <v>0</v>
          </cell>
          <cell r="AD97">
            <v>0</v>
          </cell>
        </row>
        <row r="98">
          <cell r="AA98">
            <v>0</v>
          </cell>
          <cell r="AB98">
            <v>0</v>
          </cell>
          <cell r="AD98">
            <v>0</v>
          </cell>
        </row>
        <row r="99">
          <cell r="AA99">
            <v>0</v>
          </cell>
          <cell r="AB99">
            <v>0</v>
          </cell>
          <cell r="AD99">
            <v>67342.11</v>
          </cell>
        </row>
        <row r="100">
          <cell r="AA100">
            <v>0</v>
          </cell>
          <cell r="AB100">
            <v>0</v>
          </cell>
          <cell r="AD100">
            <v>0</v>
          </cell>
        </row>
        <row r="101">
          <cell r="AA101">
            <v>0</v>
          </cell>
          <cell r="AB101">
            <v>0</v>
          </cell>
          <cell r="AD101">
            <v>0</v>
          </cell>
        </row>
        <row r="102">
          <cell r="AA102">
            <v>0</v>
          </cell>
          <cell r="AB102">
            <v>0</v>
          </cell>
          <cell r="AD102">
            <v>0</v>
          </cell>
        </row>
        <row r="103">
          <cell r="AA103">
            <v>0</v>
          </cell>
          <cell r="AB103">
            <v>0</v>
          </cell>
          <cell r="AD103">
            <v>0</v>
          </cell>
        </row>
        <row r="105">
          <cell r="AA105">
            <v>0</v>
          </cell>
          <cell r="AB105">
            <v>0</v>
          </cell>
          <cell r="AD105">
            <v>46398.40368719738</v>
          </cell>
        </row>
        <row r="106">
          <cell r="AA106">
            <v>0</v>
          </cell>
          <cell r="AB106">
            <v>0</v>
          </cell>
          <cell r="AD106">
            <v>854.28790413725858</v>
          </cell>
        </row>
        <row r="107">
          <cell r="AA107">
            <v>0</v>
          </cell>
          <cell r="AB107">
            <v>0</v>
          </cell>
          <cell r="AD107">
            <v>0</v>
          </cell>
        </row>
        <row r="108">
          <cell r="AA108">
            <v>0</v>
          </cell>
          <cell r="AB108">
            <v>0</v>
          </cell>
          <cell r="AD108">
            <v>0</v>
          </cell>
        </row>
        <row r="109">
          <cell r="AA109">
            <v>0</v>
          </cell>
          <cell r="AB109">
            <v>0</v>
          </cell>
          <cell r="AD109">
            <v>0</v>
          </cell>
        </row>
        <row r="110">
          <cell r="AA110">
            <v>0</v>
          </cell>
          <cell r="AB110">
            <v>0</v>
          </cell>
          <cell r="AD110">
            <v>0</v>
          </cell>
        </row>
        <row r="111">
          <cell r="AA111">
            <v>0</v>
          </cell>
          <cell r="AB111">
            <v>0</v>
          </cell>
          <cell r="AD111">
            <v>0</v>
          </cell>
        </row>
        <row r="112">
          <cell r="AA112">
            <v>0</v>
          </cell>
          <cell r="AB112">
            <v>0</v>
          </cell>
          <cell r="AD112">
            <v>0</v>
          </cell>
        </row>
        <row r="113">
          <cell r="AA113">
            <v>0</v>
          </cell>
          <cell r="AB113">
            <v>0</v>
          </cell>
          <cell r="AD113">
            <v>0</v>
          </cell>
        </row>
        <row r="114">
          <cell r="AA114">
            <v>0</v>
          </cell>
          <cell r="AB114">
            <v>0</v>
          </cell>
          <cell r="AD114">
            <v>0</v>
          </cell>
        </row>
        <row r="115">
          <cell r="AA115">
            <v>0</v>
          </cell>
          <cell r="AB115">
            <v>0</v>
          </cell>
          <cell r="AD115">
            <v>0</v>
          </cell>
        </row>
        <row r="117">
          <cell r="AA117">
            <v>0</v>
          </cell>
          <cell r="AB117">
            <v>0</v>
          </cell>
          <cell r="AD117">
            <v>0</v>
          </cell>
        </row>
        <row r="118">
          <cell r="AA118">
            <v>0</v>
          </cell>
          <cell r="AB118">
            <v>0</v>
          </cell>
          <cell r="AD118">
            <v>0</v>
          </cell>
        </row>
        <row r="119">
          <cell r="AA119">
            <v>0</v>
          </cell>
          <cell r="AB119">
            <v>0</v>
          </cell>
          <cell r="AD119">
            <v>0</v>
          </cell>
        </row>
        <row r="120">
          <cell r="AA120">
            <v>0</v>
          </cell>
          <cell r="AB120">
            <v>0</v>
          </cell>
          <cell r="AD120">
            <v>0</v>
          </cell>
        </row>
        <row r="121">
          <cell r="AA121">
            <v>0</v>
          </cell>
          <cell r="AB121">
            <v>0</v>
          </cell>
          <cell r="AD121">
            <v>0</v>
          </cell>
        </row>
        <row r="122">
          <cell r="AA122">
            <v>0</v>
          </cell>
          <cell r="AB122">
            <v>0</v>
          </cell>
          <cell r="AD122">
            <v>0</v>
          </cell>
        </row>
        <row r="123">
          <cell r="AA123">
            <v>0</v>
          </cell>
          <cell r="AB123">
            <v>0</v>
          </cell>
          <cell r="AD123">
            <v>0</v>
          </cell>
        </row>
        <row r="125">
          <cell r="AA125">
            <v>0</v>
          </cell>
          <cell r="AB125">
            <v>0</v>
          </cell>
          <cell r="AD125">
            <v>0</v>
          </cell>
        </row>
        <row r="126">
          <cell r="AA126">
            <v>0</v>
          </cell>
          <cell r="AB126">
            <v>0</v>
          </cell>
          <cell r="AD126">
            <v>0</v>
          </cell>
        </row>
        <row r="127">
          <cell r="AA127">
            <v>0</v>
          </cell>
          <cell r="AB127">
            <v>0</v>
          </cell>
          <cell r="AD127">
            <v>0</v>
          </cell>
        </row>
        <row r="128">
          <cell r="AA128">
            <v>0</v>
          </cell>
          <cell r="AB128">
            <v>0</v>
          </cell>
          <cell r="AD128">
            <v>0</v>
          </cell>
        </row>
        <row r="129">
          <cell r="AA129">
            <v>0</v>
          </cell>
          <cell r="AB129">
            <v>0</v>
          </cell>
          <cell r="AD129">
            <v>0</v>
          </cell>
        </row>
        <row r="131">
          <cell r="AA131">
            <v>0</v>
          </cell>
          <cell r="AB131">
            <v>0</v>
          </cell>
          <cell r="AD131">
            <v>0</v>
          </cell>
        </row>
        <row r="132">
          <cell r="AA132">
            <v>0</v>
          </cell>
          <cell r="AB132">
            <v>0</v>
          </cell>
          <cell r="AD132">
            <v>0</v>
          </cell>
        </row>
        <row r="133">
          <cell r="AA133">
            <v>0</v>
          </cell>
          <cell r="AB133">
            <v>0</v>
          </cell>
          <cell r="AD133">
            <v>0</v>
          </cell>
        </row>
        <row r="134">
          <cell r="AA134">
            <v>0</v>
          </cell>
          <cell r="AB134">
            <v>0</v>
          </cell>
          <cell r="AD134">
            <v>0</v>
          </cell>
        </row>
        <row r="135">
          <cell r="AA135">
            <v>0</v>
          </cell>
          <cell r="AB135">
            <v>0</v>
          </cell>
          <cell r="AD135">
            <v>0</v>
          </cell>
        </row>
        <row r="136">
          <cell r="AA136">
            <v>0</v>
          </cell>
          <cell r="AB136">
            <v>0</v>
          </cell>
          <cell r="AD136">
            <v>0</v>
          </cell>
        </row>
        <row r="137">
          <cell r="AA137">
            <v>0</v>
          </cell>
          <cell r="AB137">
            <v>0</v>
          </cell>
          <cell r="AD137">
            <v>0</v>
          </cell>
        </row>
        <row r="138">
          <cell r="AA138">
            <v>0</v>
          </cell>
          <cell r="AB138">
            <v>0</v>
          </cell>
          <cell r="AD138">
            <v>0</v>
          </cell>
        </row>
        <row r="139">
          <cell r="AA139">
            <v>0</v>
          </cell>
          <cell r="AB139">
            <v>0</v>
          </cell>
          <cell r="AD139">
            <v>0</v>
          </cell>
        </row>
        <row r="140">
          <cell r="AA140">
            <v>0</v>
          </cell>
          <cell r="AB140">
            <v>0</v>
          </cell>
          <cell r="AD140">
            <v>0</v>
          </cell>
        </row>
        <row r="141">
          <cell r="AA141">
            <v>0</v>
          </cell>
          <cell r="AB141">
            <v>0</v>
          </cell>
          <cell r="AD141">
            <v>0</v>
          </cell>
        </row>
        <row r="142">
          <cell r="AA142">
            <v>0</v>
          </cell>
          <cell r="AB142">
            <v>0</v>
          </cell>
          <cell r="AD142">
            <v>0</v>
          </cell>
        </row>
        <row r="144">
          <cell r="AA144">
            <v>0</v>
          </cell>
          <cell r="AB144">
            <v>0</v>
          </cell>
          <cell r="AD144">
            <v>0</v>
          </cell>
        </row>
        <row r="145">
          <cell r="AA145">
            <v>0</v>
          </cell>
          <cell r="AB145">
            <v>0</v>
          </cell>
          <cell r="AD145">
            <v>0</v>
          </cell>
        </row>
        <row r="146">
          <cell r="AA146">
            <v>0</v>
          </cell>
          <cell r="AB146">
            <v>0</v>
          </cell>
          <cell r="AD146">
            <v>0</v>
          </cell>
        </row>
        <row r="147">
          <cell r="AA147">
            <v>0</v>
          </cell>
          <cell r="AB147">
            <v>0</v>
          </cell>
          <cell r="AD147">
            <v>0</v>
          </cell>
        </row>
        <row r="148">
          <cell r="AA148">
            <v>0</v>
          </cell>
          <cell r="AB148">
            <v>0</v>
          </cell>
          <cell r="AD148">
            <v>0</v>
          </cell>
        </row>
        <row r="149">
          <cell r="AA149">
            <v>0</v>
          </cell>
          <cell r="AB149">
            <v>0</v>
          </cell>
          <cell r="AD149">
            <v>0</v>
          </cell>
        </row>
        <row r="150">
          <cell r="AA150">
            <v>0</v>
          </cell>
          <cell r="AB150">
            <v>0</v>
          </cell>
          <cell r="AD150">
            <v>0</v>
          </cell>
        </row>
        <row r="151">
          <cell r="AA151">
            <v>0</v>
          </cell>
          <cell r="AB151">
            <v>0</v>
          </cell>
          <cell r="AD151">
            <v>0</v>
          </cell>
        </row>
        <row r="152">
          <cell r="AA152">
            <v>0</v>
          </cell>
          <cell r="AB152">
            <v>0</v>
          </cell>
          <cell r="AD152">
            <v>0</v>
          </cell>
        </row>
        <row r="153">
          <cell r="AA153">
            <v>0</v>
          </cell>
          <cell r="AB153">
            <v>0</v>
          </cell>
          <cell r="AD153">
            <v>0</v>
          </cell>
        </row>
        <row r="155">
          <cell r="AA155">
            <v>0</v>
          </cell>
          <cell r="AB155">
            <v>0</v>
          </cell>
          <cell r="AD155">
            <v>0</v>
          </cell>
        </row>
        <row r="156">
          <cell r="AA156">
            <v>0</v>
          </cell>
          <cell r="AB156">
            <v>0</v>
          </cell>
          <cell r="AD156">
            <v>0</v>
          </cell>
        </row>
        <row r="158">
          <cell r="AA158">
            <v>0</v>
          </cell>
          <cell r="AB158">
            <v>0</v>
          </cell>
          <cell r="AD158">
            <v>0</v>
          </cell>
        </row>
        <row r="159">
          <cell r="AA159">
            <v>0</v>
          </cell>
          <cell r="AB159">
            <v>0</v>
          </cell>
          <cell r="AD159">
            <v>0</v>
          </cell>
        </row>
        <row r="160">
          <cell r="AA160">
            <v>0</v>
          </cell>
          <cell r="AB160">
            <v>0</v>
          </cell>
          <cell r="AD160">
            <v>0</v>
          </cell>
        </row>
        <row r="161">
          <cell r="AA161">
            <v>0</v>
          </cell>
          <cell r="AB161">
            <v>0</v>
          </cell>
          <cell r="AD161">
            <v>0</v>
          </cell>
        </row>
        <row r="162">
          <cell r="AA162">
            <v>0</v>
          </cell>
          <cell r="AB162">
            <v>0</v>
          </cell>
          <cell r="AD162">
            <v>0</v>
          </cell>
        </row>
        <row r="163">
          <cell r="AA163">
            <v>0</v>
          </cell>
          <cell r="AB163">
            <v>0</v>
          </cell>
          <cell r="AD163">
            <v>0</v>
          </cell>
        </row>
        <row r="164">
          <cell r="AA164">
            <v>0</v>
          </cell>
          <cell r="AB164">
            <v>0</v>
          </cell>
          <cell r="AD164">
            <v>0</v>
          </cell>
        </row>
        <row r="165">
          <cell r="AA165">
            <v>0</v>
          </cell>
          <cell r="AB165">
            <v>0</v>
          </cell>
          <cell r="AD165">
            <v>28695</v>
          </cell>
        </row>
        <row r="166">
          <cell r="AA166">
            <v>0</v>
          </cell>
          <cell r="AB166">
            <v>0</v>
          </cell>
          <cell r="AD166">
            <v>0</v>
          </cell>
        </row>
        <row r="167">
          <cell r="AA167">
            <v>0</v>
          </cell>
          <cell r="AB167">
            <v>0</v>
          </cell>
          <cell r="AD167">
            <v>0</v>
          </cell>
        </row>
        <row r="168">
          <cell r="AA168">
            <v>0</v>
          </cell>
          <cell r="AB168">
            <v>0</v>
          </cell>
          <cell r="AD168">
            <v>0</v>
          </cell>
        </row>
        <row r="169">
          <cell r="AA169">
            <v>0</v>
          </cell>
          <cell r="AB169">
            <v>0</v>
          </cell>
          <cell r="AD169">
            <v>0</v>
          </cell>
        </row>
        <row r="170">
          <cell r="AA170">
            <v>0</v>
          </cell>
          <cell r="AB170">
            <v>0</v>
          </cell>
          <cell r="AD170">
            <v>0</v>
          </cell>
        </row>
        <row r="171">
          <cell r="AA171">
            <v>0</v>
          </cell>
          <cell r="AB171">
            <v>0</v>
          </cell>
          <cell r="AD171">
            <v>1.1499999999999999</v>
          </cell>
        </row>
        <row r="172">
          <cell r="AA172">
            <v>0</v>
          </cell>
          <cell r="AB172">
            <v>0</v>
          </cell>
          <cell r="AD172">
            <v>0</v>
          </cell>
        </row>
      </sheetData>
      <sheetData sheetId="10">
        <row r="19">
          <cell r="AA19">
            <v>0</v>
          </cell>
          <cell r="AB19">
            <v>0</v>
          </cell>
          <cell r="AD19">
            <v>0</v>
          </cell>
        </row>
        <row r="20">
          <cell r="AA20">
            <v>0</v>
          </cell>
          <cell r="AB20">
            <v>0</v>
          </cell>
          <cell r="AD20">
            <v>0</v>
          </cell>
        </row>
        <row r="22">
          <cell r="AA22">
            <v>0</v>
          </cell>
          <cell r="AB22">
            <v>0</v>
          </cell>
          <cell r="AD22">
            <v>0</v>
          </cell>
        </row>
        <row r="23">
          <cell r="AA23">
            <v>0</v>
          </cell>
          <cell r="AB23">
            <v>0</v>
          </cell>
          <cell r="AD23">
            <v>0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5">
          <cell r="AA25">
            <v>0</v>
          </cell>
          <cell r="AB25">
            <v>0</v>
          </cell>
          <cell r="AD25">
            <v>0</v>
          </cell>
        </row>
        <row r="26">
          <cell r="AA26">
            <v>0</v>
          </cell>
          <cell r="AB26">
            <v>0</v>
          </cell>
          <cell r="AD26">
            <v>0</v>
          </cell>
        </row>
        <row r="27">
          <cell r="AA27">
            <v>0</v>
          </cell>
          <cell r="AB27">
            <v>0</v>
          </cell>
          <cell r="AD27">
            <v>0</v>
          </cell>
        </row>
        <row r="28">
          <cell r="AA28">
            <v>0</v>
          </cell>
          <cell r="AB28">
            <v>0</v>
          </cell>
          <cell r="AD28">
            <v>0</v>
          </cell>
        </row>
        <row r="29">
          <cell r="AA29">
            <v>0</v>
          </cell>
          <cell r="AB29">
            <v>0</v>
          </cell>
          <cell r="AD29">
            <v>0</v>
          </cell>
        </row>
        <row r="31">
          <cell r="AA31">
            <v>0</v>
          </cell>
          <cell r="AB31">
            <v>0</v>
          </cell>
          <cell r="AD31">
            <v>0</v>
          </cell>
        </row>
        <row r="32">
          <cell r="AA32">
            <v>0</v>
          </cell>
          <cell r="AB32">
            <v>0</v>
          </cell>
          <cell r="AD32">
            <v>0</v>
          </cell>
        </row>
        <row r="34">
          <cell r="AA34">
            <v>0</v>
          </cell>
          <cell r="AB34">
            <v>0</v>
          </cell>
          <cell r="AD34">
            <v>0</v>
          </cell>
        </row>
        <row r="35">
          <cell r="AA35">
            <v>0</v>
          </cell>
          <cell r="AB35">
            <v>0</v>
          </cell>
          <cell r="AD35">
            <v>0</v>
          </cell>
        </row>
        <row r="36">
          <cell r="AA36">
            <v>0</v>
          </cell>
          <cell r="AB36">
            <v>0</v>
          </cell>
          <cell r="AD36">
            <v>0</v>
          </cell>
        </row>
        <row r="38">
          <cell r="AA38">
            <v>0</v>
          </cell>
          <cell r="AB38">
            <v>0</v>
          </cell>
          <cell r="AD38">
            <v>0</v>
          </cell>
        </row>
        <row r="39">
          <cell r="AA39">
            <v>0</v>
          </cell>
          <cell r="AB39">
            <v>0</v>
          </cell>
          <cell r="AD39">
            <v>0</v>
          </cell>
        </row>
        <row r="40">
          <cell r="AA40">
            <v>0</v>
          </cell>
          <cell r="AB40">
            <v>0</v>
          </cell>
          <cell r="AD40">
            <v>0</v>
          </cell>
        </row>
        <row r="42">
          <cell r="AA42">
            <v>0</v>
          </cell>
          <cell r="AB42">
            <v>0</v>
          </cell>
          <cell r="AD42">
            <v>0</v>
          </cell>
        </row>
        <row r="43">
          <cell r="AA43">
            <v>0</v>
          </cell>
          <cell r="AB43">
            <v>0</v>
          </cell>
          <cell r="AD43">
            <v>0</v>
          </cell>
        </row>
        <row r="44">
          <cell r="AA44">
            <v>0</v>
          </cell>
          <cell r="AB44">
            <v>0</v>
          </cell>
          <cell r="AD44">
            <v>0</v>
          </cell>
        </row>
        <row r="45">
          <cell r="AA45">
            <v>0</v>
          </cell>
          <cell r="AB45">
            <v>0</v>
          </cell>
          <cell r="AD45">
            <v>0</v>
          </cell>
        </row>
        <row r="46">
          <cell r="AA46">
            <v>0</v>
          </cell>
          <cell r="AB46">
            <v>0</v>
          </cell>
          <cell r="AD46">
            <v>0</v>
          </cell>
        </row>
        <row r="47">
          <cell r="AA47">
            <v>0</v>
          </cell>
          <cell r="AB47">
            <v>0</v>
          </cell>
          <cell r="AD47">
            <v>0</v>
          </cell>
        </row>
        <row r="48">
          <cell r="AA48">
            <v>0</v>
          </cell>
          <cell r="AB48">
            <v>0</v>
          </cell>
          <cell r="AD48">
            <v>0</v>
          </cell>
        </row>
        <row r="50">
          <cell r="AA50">
            <v>0</v>
          </cell>
          <cell r="AB50">
            <v>0</v>
          </cell>
          <cell r="AD50">
            <v>0</v>
          </cell>
        </row>
        <row r="51">
          <cell r="AA51">
            <v>0</v>
          </cell>
          <cell r="AB51">
            <v>0</v>
          </cell>
          <cell r="AD51">
            <v>0</v>
          </cell>
        </row>
        <row r="52">
          <cell r="AA52">
            <v>0</v>
          </cell>
          <cell r="AB52">
            <v>0</v>
          </cell>
          <cell r="AD52">
            <v>0</v>
          </cell>
        </row>
        <row r="53">
          <cell r="AA53">
            <v>0</v>
          </cell>
          <cell r="AB53">
            <v>0</v>
          </cell>
          <cell r="AD53">
            <v>0</v>
          </cell>
        </row>
        <row r="54">
          <cell r="AA54">
            <v>0</v>
          </cell>
          <cell r="AB54">
            <v>0</v>
          </cell>
          <cell r="AD54">
            <v>0</v>
          </cell>
        </row>
        <row r="55">
          <cell r="AA55">
            <v>0</v>
          </cell>
          <cell r="AB55">
            <v>0</v>
          </cell>
          <cell r="AD55">
            <v>0</v>
          </cell>
        </row>
        <row r="56">
          <cell r="AA56">
            <v>0</v>
          </cell>
          <cell r="AB56">
            <v>0</v>
          </cell>
          <cell r="AD56">
            <v>0</v>
          </cell>
        </row>
        <row r="57">
          <cell r="AA57">
            <v>0</v>
          </cell>
          <cell r="AB57">
            <v>0</v>
          </cell>
          <cell r="AD57">
            <v>0</v>
          </cell>
        </row>
        <row r="58">
          <cell r="AA58">
            <v>0</v>
          </cell>
          <cell r="AB58">
            <v>0</v>
          </cell>
          <cell r="AD58">
            <v>0</v>
          </cell>
        </row>
        <row r="59">
          <cell r="AA59">
            <v>0</v>
          </cell>
          <cell r="AB59">
            <v>0</v>
          </cell>
          <cell r="AD59">
            <v>0</v>
          </cell>
        </row>
        <row r="60">
          <cell r="AA60">
            <v>0</v>
          </cell>
          <cell r="AB60">
            <v>0</v>
          </cell>
          <cell r="AD60">
            <v>0</v>
          </cell>
        </row>
        <row r="61">
          <cell r="AA61">
            <v>0</v>
          </cell>
          <cell r="AB61">
            <v>0</v>
          </cell>
          <cell r="AD61">
            <v>0</v>
          </cell>
        </row>
        <row r="62">
          <cell r="AA62">
            <v>0</v>
          </cell>
          <cell r="AB62">
            <v>0</v>
          </cell>
          <cell r="AD62">
            <v>0</v>
          </cell>
        </row>
        <row r="63">
          <cell r="AA63">
            <v>0</v>
          </cell>
          <cell r="AB63">
            <v>0</v>
          </cell>
          <cell r="AD63">
            <v>0</v>
          </cell>
        </row>
        <row r="64">
          <cell r="AA64">
            <v>0</v>
          </cell>
          <cell r="AB64">
            <v>0</v>
          </cell>
          <cell r="AD64">
            <v>0</v>
          </cell>
        </row>
        <row r="65">
          <cell r="AA65">
            <v>0</v>
          </cell>
          <cell r="AB65">
            <v>0</v>
          </cell>
          <cell r="AD65">
            <v>0</v>
          </cell>
        </row>
        <row r="66">
          <cell r="AA66">
            <v>0</v>
          </cell>
          <cell r="AB66">
            <v>0</v>
          </cell>
          <cell r="AD66">
            <v>0</v>
          </cell>
        </row>
        <row r="67">
          <cell r="AA67">
            <v>0</v>
          </cell>
          <cell r="AB67">
            <v>0</v>
          </cell>
          <cell r="AD67">
            <v>0</v>
          </cell>
        </row>
        <row r="68">
          <cell r="AA68">
            <v>0</v>
          </cell>
          <cell r="AB68">
            <v>0</v>
          </cell>
          <cell r="AD68">
            <v>0</v>
          </cell>
        </row>
        <row r="69">
          <cell r="AA69">
            <v>0</v>
          </cell>
          <cell r="AB69">
            <v>0</v>
          </cell>
          <cell r="AD69">
            <v>0</v>
          </cell>
        </row>
        <row r="70">
          <cell r="AA70">
            <v>0</v>
          </cell>
          <cell r="AB70">
            <v>0</v>
          </cell>
          <cell r="AD70">
            <v>0</v>
          </cell>
        </row>
        <row r="71">
          <cell r="AA71">
            <v>0</v>
          </cell>
          <cell r="AB71">
            <v>0</v>
          </cell>
          <cell r="AD71">
            <v>0</v>
          </cell>
        </row>
        <row r="72">
          <cell r="AA72">
            <v>0</v>
          </cell>
          <cell r="AB72">
            <v>0</v>
          </cell>
          <cell r="AD72">
            <v>0</v>
          </cell>
        </row>
        <row r="73">
          <cell r="AA73">
            <v>0</v>
          </cell>
          <cell r="AB73">
            <v>0</v>
          </cell>
          <cell r="AD73">
            <v>0</v>
          </cell>
        </row>
        <row r="74">
          <cell r="AA74">
            <v>0</v>
          </cell>
          <cell r="AB74">
            <v>0</v>
          </cell>
          <cell r="AD74">
            <v>0</v>
          </cell>
        </row>
        <row r="75">
          <cell r="AA75">
            <v>0</v>
          </cell>
          <cell r="AB75">
            <v>0</v>
          </cell>
          <cell r="AD75">
            <v>0</v>
          </cell>
        </row>
        <row r="76">
          <cell r="AA76">
            <v>0</v>
          </cell>
          <cell r="AB76">
            <v>0</v>
          </cell>
          <cell r="AD76">
            <v>0</v>
          </cell>
        </row>
        <row r="78">
          <cell r="AA78">
            <v>0</v>
          </cell>
          <cell r="AB78">
            <v>0</v>
          </cell>
          <cell r="AD78">
            <v>0</v>
          </cell>
        </row>
        <row r="79">
          <cell r="AA79">
            <v>0</v>
          </cell>
          <cell r="AB79">
            <v>0</v>
          </cell>
          <cell r="AD79">
            <v>0</v>
          </cell>
        </row>
        <row r="80">
          <cell r="AA80">
            <v>0</v>
          </cell>
          <cell r="AB80">
            <v>0</v>
          </cell>
          <cell r="AD80">
            <v>0</v>
          </cell>
        </row>
        <row r="81">
          <cell r="AA81">
            <v>0</v>
          </cell>
          <cell r="AB81">
            <v>0</v>
          </cell>
          <cell r="AD81">
            <v>0</v>
          </cell>
        </row>
        <row r="82">
          <cell r="AA82">
            <v>0</v>
          </cell>
          <cell r="AB82">
            <v>0</v>
          </cell>
          <cell r="AD82">
            <v>0</v>
          </cell>
        </row>
        <row r="83">
          <cell r="AA83">
            <v>0</v>
          </cell>
          <cell r="AB83">
            <v>0</v>
          </cell>
          <cell r="AD83">
            <v>0</v>
          </cell>
        </row>
        <row r="84">
          <cell r="AA84">
            <v>0</v>
          </cell>
          <cell r="AB84">
            <v>0</v>
          </cell>
          <cell r="AD84">
            <v>0</v>
          </cell>
        </row>
        <row r="85">
          <cell r="AA85">
            <v>0</v>
          </cell>
          <cell r="AB85">
            <v>0</v>
          </cell>
          <cell r="AD85">
            <v>0</v>
          </cell>
        </row>
        <row r="86">
          <cell r="AA86">
            <v>0</v>
          </cell>
          <cell r="AB86">
            <v>0</v>
          </cell>
          <cell r="AD86">
            <v>0</v>
          </cell>
        </row>
        <row r="87">
          <cell r="AA87">
            <v>0</v>
          </cell>
          <cell r="AB87">
            <v>0</v>
          </cell>
          <cell r="AD87">
            <v>0</v>
          </cell>
        </row>
        <row r="88">
          <cell r="AA88">
            <v>0</v>
          </cell>
          <cell r="AB88">
            <v>0</v>
          </cell>
          <cell r="AD88">
            <v>0</v>
          </cell>
        </row>
        <row r="89">
          <cell r="AA89">
            <v>0</v>
          </cell>
          <cell r="AB89">
            <v>0</v>
          </cell>
          <cell r="AD89">
            <v>0</v>
          </cell>
        </row>
        <row r="90">
          <cell r="AA90">
            <v>0</v>
          </cell>
          <cell r="AB90">
            <v>0</v>
          </cell>
          <cell r="AD90">
            <v>0</v>
          </cell>
        </row>
        <row r="91">
          <cell r="AA91">
            <v>0</v>
          </cell>
          <cell r="AB91">
            <v>0</v>
          </cell>
          <cell r="AD91">
            <v>0</v>
          </cell>
        </row>
        <row r="92">
          <cell r="AA92">
            <v>0</v>
          </cell>
          <cell r="AB92">
            <v>0</v>
          </cell>
          <cell r="AD92">
            <v>0</v>
          </cell>
        </row>
        <row r="93">
          <cell r="AA93">
            <v>0</v>
          </cell>
          <cell r="AB93">
            <v>0</v>
          </cell>
          <cell r="AD93">
            <v>0</v>
          </cell>
        </row>
        <row r="94">
          <cell r="AA94">
            <v>0</v>
          </cell>
          <cell r="AB94">
            <v>0</v>
          </cell>
          <cell r="AD94">
            <v>0</v>
          </cell>
        </row>
        <row r="95">
          <cell r="AA95">
            <v>0</v>
          </cell>
          <cell r="AB95">
            <v>0</v>
          </cell>
          <cell r="AD95">
            <v>0</v>
          </cell>
        </row>
        <row r="96">
          <cell r="AA96">
            <v>0</v>
          </cell>
          <cell r="AB96">
            <v>0</v>
          </cell>
          <cell r="AD96">
            <v>0</v>
          </cell>
        </row>
        <row r="97">
          <cell r="AA97">
            <v>0</v>
          </cell>
          <cell r="AB97">
            <v>0</v>
          </cell>
          <cell r="AD97">
            <v>0</v>
          </cell>
        </row>
        <row r="98">
          <cell r="AA98">
            <v>0</v>
          </cell>
          <cell r="AB98">
            <v>0</v>
          </cell>
          <cell r="AD98">
            <v>0</v>
          </cell>
        </row>
        <row r="99">
          <cell r="AA99">
            <v>0</v>
          </cell>
          <cell r="AB99">
            <v>0</v>
          </cell>
          <cell r="AD99">
            <v>0</v>
          </cell>
        </row>
        <row r="100">
          <cell r="AA100">
            <v>0</v>
          </cell>
          <cell r="AB100">
            <v>0</v>
          </cell>
          <cell r="AD100">
            <v>0</v>
          </cell>
        </row>
        <row r="101">
          <cell r="AA101">
            <v>0</v>
          </cell>
          <cell r="AB101">
            <v>0</v>
          </cell>
          <cell r="AD101">
            <v>0</v>
          </cell>
        </row>
        <row r="102">
          <cell r="AA102">
            <v>0</v>
          </cell>
          <cell r="AB102">
            <v>0</v>
          </cell>
          <cell r="AD102">
            <v>0</v>
          </cell>
        </row>
        <row r="103">
          <cell r="AA103">
            <v>0</v>
          </cell>
          <cell r="AB103">
            <v>0</v>
          </cell>
          <cell r="AD103">
            <v>0</v>
          </cell>
        </row>
        <row r="105">
          <cell r="AA105">
            <v>0</v>
          </cell>
          <cell r="AB105">
            <v>0</v>
          </cell>
          <cell r="AD105">
            <v>0</v>
          </cell>
        </row>
        <row r="106">
          <cell r="AA106">
            <v>0</v>
          </cell>
          <cell r="AB106">
            <v>0</v>
          </cell>
          <cell r="AD106">
            <v>0</v>
          </cell>
        </row>
        <row r="107">
          <cell r="AA107">
            <v>0</v>
          </cell>
          <cell r="AB107">
            <v>0</v>
          </cell>
          <cell r="AD107">
            <v>0</v>
          </cell>
        </row>
        <row r="108">
          <cell r="AA108">
            <v>0</v>
          </cell>
          <cell r="AB108">
            <v>0</v>
          </cell>
          <cell r="AD108">
            <v>0</v>
          </cell>
        </row>
        <row r="109">
          <cell r="AA109">
            <v>0</v>
          </cell>
          <cell r="AB109">
            <v>0</v>
          </cell>
          <cell r="AD109">
            <v>0</v>
          </cell>
        </row>
        <row r="110">
          <cell r="AA110">
            <v>0</v>
          </cell>
          <cell r="AB110">
            <v>0</v>
          </cell>
          <cell r="AD110">
            <v>0</v>
          </cell>
        </row>
        <row r="111">
          <cell r="AA111">
            <v>0</v>
          </cell>
          <cell r="AB111">
            <v>0</v>
          </cell>
          <cell r="AD111">
            <v>0</v>
          </cell>
        </row>
        <row r="112">
          <cell r="AA112">
            <v>0</v>
          </cell>
          <cell r="AB112">
            <v>0</v>
          </cell>
          <cell r="AD112">
            <v>0</v>
          </cell>
        </row>
        <row r="113">
          <cell r="AA113">
            <v>0</v>
          </cell>
          <cell r="AB113">
            <v>0</v>
          </cell>
          <cell r="AD113">
            <v>0</v>
          </cell>
        </row>
        <row r="114">
          <cell r="AA114">
            <v>0</v>
          </cell>
          <cell r="AB114">
            <v>0</v>
          </cell>
          <cell r="AD114">
            <v>0</v>
          </cell>
        </row>
        <row r="115">
          <cell r="AA115">
            <v>0</v>
          </cell>
          <cell r="AB115">
            <v>0</v>
          </cell>
          <cell r="AD115">
            <v>0</v>
          </cell>
        </row>
        <row r="117">
          <cell r="AA117">
            <v>0</v>
          </cell>
          <cell r="AB117">
            <v>0</v>
          </cell>
          <cell r="AD117">
            <v>0</v>
          </cell>
        </row>
        <row r="118">
          <cell r="AA118">
            <v>0</v>
          </cell>
          <cell r="AB118">
            <v>0</v>
          </cell>
          <cell r="AD118">
            <v>0</v>
          </cell>
        </row>
        <row r="119">
          <cell r="AA119">
            <v>0</v>
          </cell>
          <cell r="AB119">
            <v>0</v>
          </cell>
          <cell r="AD119">
            <v>0</v>
          </cell>
        </row>
        <row r="120">
          <cell r="AA120">
            <v>0</v>
          </cell>
          <cell r="AB120">
            <v>0</v>
          </cell>
          <cell r="AD120">
            <v>0</v>
          </cell>
        </row>
        <row r="121">
          <cell r="AA121">
            <v>0</v>
          </cell>
          <cell r="AB121">
            <v>0</v>
          </cell>
          <cell r="AD121">
            <v>0</v>
          </cell>
        </row>
        <row r="122">
          <cell r="AA122">
            <v>0</v>
          </cell>
          <cell r="AB122">
            <v>0</v>
          </cell>
          <cell r="AD122">
            <v>0</v>
          </cell>
        </row>
        <row r="123">
          <cell r="AA123">
            <v>0</v>
          </cell>
          <cell r="AB123">
            <v>0</v>
          </cell>
          <cell r="AD123">
            <v>0</v>
          </cell>
        </row>
        <row r="125">
          <cell r="AA125">
            <v>0</v>
          </cell>
          <cell r="AB125">
            <v>0</v>
          </cell>
          <cell r="AD125">
            <v>0</v>
          </cell>
        </row>
        <row r="126">
          <cell r="AA126">
            <v>0</v>
          </cell>
          <cell r="AB126">
            <v>0</v>
          </cell>
          <cell r="AD126">
            <v>0</v>
          </cell>
        </row>
        <row r="127">
          <cell r="AA127">
            <v>0</v>
          </cell>
          <cell r="AB127">
            <v>0</v>
          </cell>
          <cell r="AD127">
            <v>0</v>
          </cell>
        </row>
        <row r="128">
          <cell r="AA128">
            <v>0</v>
          </cell>
          <cell r="AB128">
            <v>0</v>
          </cell>
          <cell r="AD128">
            <v>0</v>
          </cell>
        </row>
        <row r="129">
          <cell r="AA129">
            <v>0</v>
          </cell>
          <cell r="AB129">
            <v>0</v>
          </cell>
          <cell r="AD129">
            <v>0</v>
          </cell>
        </row>
        <row r="131">
          <cell r="AA131">
            <v>0</v>
          </cell>
          <cell r="AB131">
            <v>0</v>
          </cell>
          <cell r="AD131">
            <v>0</v>
          </cell>
        </row>
        <row r="132">
          <cell r="AA132">
            <v>0</v>
          </cell>
          <cell r="AB132">
            <v>0</v>
          </cell>
          <cell r="AD132">
            <v>0</v>
          </cell>
        </row>
        <row r="133">
          <cell r="AA133">
            <v>0</v>
          </cell>
          <cell r="AB133">
            <v>0</v>
          </cell>
          <cell r="AD133">
            <v>0</v>
          </cell>
        </row>
        <row r="134">
          <cell r="AA134">
            <v>0</v>
          </cell>
          <cell r="AB134">
            <v>0</v>
          </cell>
          <cell r="AD134">
            <v>0</v>
          </cell>
        </row>
        <row r="135">
          <cell r="AA135">
            <v>0</v>
          </cell>
          <cell r="AB135">
            <v>0</v>
          </cell>
          <cell r="AD135">
            <v>0</v>
          </cell>
        </row>
        <row r="136">
          <cell r="AA136">
            <v>0</v>
          </cell>
          <cell r="AB136">
            <v>0</v>
          </cell>
          <cell r="AD136">
            <v>0</v>
          </cell>
        </row>
        <row r="137">
          <cell r="AA137">
            <v>0</v>
          </cell>
          <cell r="AB137">
            <v>0</v>
          </cell>
          <cell r="AD137">
            <v>0</v>
          </cell>
        </row>
        <row r="138">
          <cell r="AA138">
            <v>0</v>
          </cell>
          <cell r="AB138">
            <v>0</v>
          </cell>
          <cell r="AD138">
            <v>0</v>
          </cell>
        </row>
        <row r="139">
          <cell r="AA139">
            <v>0</v>
          </cell>
          <cell r="AB139">
            <v>0</v>
          </cell>
          <cell r="AD139">
            <v>0</v>
          </cell>
        </row>
        <row r="140">
          <cell r="AA140">
            <v>0</v>
          </cell>
          <cell r="AB140">
            <v>0</v>
          </cell>
          <cell r="AD140">
            <v>0</v>
          </cell>
        </row>
        <row r="141">
          <cell r="AA141">
            <v>0</v>
          </cell>
          <cell r="AB141">
            <v>0</v>
          </cell>
          <cell r="AD141">
            <v>0</v>
          </cell>
        </row>
        <row r="142">
          <cell r="AA142">
            <v>0</v>
          </cell>
          <cell r="AB142">
            <v>0</v>
          </cell>
          <cell r="AD142">
            <v>0</v>
          </cell>
        </row>
        <row r="144">
          <cell r="AA144">
            <v>0</v>
          </cell>
          <cell r="AB144">
            <v>0</v>
          </cell>
          <cell r="AD144">
            <v>0</v>
          </cell>
        </row>
        <row r="145">
          <cell r="AA145">
            <v>0</v>
          </cell>
          <cell r="AB145">
            <v>0</v>
          </cell>
          <cell r="AD145">
            <v>0</v>
          </cell>
        </row>
        <row r="146">
          <cell r="AA146">
            <v>0</v>
          </cell>
          <cell r="AB146">
            <v>0</v>
          </cell>
          <cell r="AD146">
            <v>0</v>
          </cell>
        </row>
        <row r="147">
          <cell r="AA147">
            <v>0</v>
          </cell>
          <cell r="AB147">
            <v>0</v>
          </cell>
          <cell r="AD147">
            <v>0</v>
          </cell>
        </row>
        <row r="148">
          <cell r="AA148">
            <v>0</v>
          </cell>
          <cell r="AB148">
            <v>0</v>
          </cell>
          <cell r="AD148">
            <v>0</v>
          </cell>
        </row>
        <row r="149">
          <cell r="AA149">
            <v>0</v>
          </cell>
          <cell r="AB149">
            <v>0</v>
          </cell>
          <cell r="AD149">
            <v>0</v>
          </cell>
        </row>
        <row r="150">
          <cell r="AA150">
            <v>0</v>
          </cell>
          <cell r="AB150">
            <v>0</v>
          </cell>
          <cell r="AD150">
            <v>0</v>
          </cell>
        </row>
        <row r="151">
          <cell r="AA151">
            <v>0</v>
          </cell>
          <cell r="AB151">
            <v>0</v>
          </cell>
          <cell r="AD151">
            <v>0</v>
          </cell>
        </row>
        <row r="152">
          <cell r="AA152">
            <v>0</v>
          </cell>
          <cell r="AB152">
            <v>0</v>
          </cell>
          <cell r="AD152">
            <v>0</v>
          </cell>
        </row>
        <row r="153">
          <cell r="AA153">
            <v>0</v>
          </cell>
          <cell r="AB153">
            <v>0</v>
          </cell>
          <cell r="AD153">
            <v>0</v>
          </cell>
        </row>
        <row r="155">
          <cell r="AA155">
            <v>0</v>
          </cell>
          <cell r="AB155">
            <v>0</v>
          </cell>
          <cell r="AD155">
            <v>0</v>
          </cell>
        </row>
        <row r="156">
          <cell r="AA156">
            <v>0</v>
          </cell>
          <cell r="AB156">
            <v>0</v>
          </cell>
          <cell r="AD156">
            <v>0</v>
          </cell>
        </row>
        <row r="158">
          <cell r="AA158">
            <v>0</v>
          </cell>
          <cell r="AB158">
            <v>0</v>
          </cell>
          <cell r="AD158">
            <v>0</v>
          </cell>
        </row>
        <row r="159">
          <cell r="AA159">
            <v>0</v>
          </cell>
          <cell r="AB159">
            <v>0</v>
          </cell>
          <cell r="AD159">
            <v>0</v>
          </cell>
        </row>
        <row r="160">
          <cell r="AA160">
            <v>0</v>
          </cell>
          <cell r="AB160">
            <v>0</v>
          </cell>
          <cell r="AD160">
            <v>0</v>
          </cell>
        </row>
        <row r="161">
          <cell r="AA161">
            <v>0</v>
          </cell>
          <cell r="AB161">
            <v>0</v>
          </cell>
          <cell r="AD161">
            <v>0</v>
          </cell>
        </row>
        <row r="162">
          <cell r="AA162">
            <v>0</v>
          </cell>
          <cell r="AB162">
            <v>0</v>
          </cell>
          <cell r="AD162">
            <v>0</v>
          </cell>
        </row>
        <row r="163">
          <cell r="AA163">
            <v>0</v>
          </cell>
          <cell r="AB163">
            <v>0</v>
          </cell>
          <cell r="AD163">
            <v>0</v>
          </cell>
        </row>
        <row r="164">
          <cell r="AA164">
            <v>0</v>
          </cell>
          <cell r="AB164">
            <v>0</v>
          </cell>
          <cell r="AD164">
            <v>0</v>
          </cell>
        </row>
        <row r="165">
          <cell r="AA165">
            <v>0</v>
          </cell>
          <cell r="AB165">
            <v>0</v>
          </cell>
          <cell r="AD165">
            <v>0</v>
          </cell>
        </row>
        <row r="166">
          <cell r="AA166">
            <v>0</v>
          </cell>
          <cell r="AB166">
            <v>0</v>
          </cell>
          <cell r="AD166">
            <v>0</v>
          </cell>
        </row>
        <row r="167">
          <cell r="AA167">
            <v>0</v>
          </cell>
          <cell r="AB167">
            <v>0</v>
          </cell>
          <cell r="AD167">
            <v>0</v>
          </cell>
        </row>
        <row r="168">
          <cell r="AA168">
            <v>0</v>
          </cell>
          <cell r="AB168">
            <v>0</v>
          </cell>
          <cell r="AD168">
            <v>0</v>
          </cell>
        </row>
        <row r="169">
          <cell r="AA169">
            <v>0</v>
          </cell>
          <cell r="AB169">
            <v>0</v>
          </cell>
          <cell r="AD169">
            <v>0</v>
          </cell>
        </row>
        <row r="170">
          <cell r="AA170">
            <v>0</v>
          </cell>
          <cell r="AB170">
            <v>0</v>
          </cell>
          <cell r="AD170">
            <v>0</v>
          </cell>
        </row>
        <row r="171">
          <cell r="AA171">
            <v>0</v>
          </cell>
          <cell r="AB171">
            <v>0</v>
          </cell>
          <cell r="AD171">
            <v>0</v>
          </cell>
        </row>
        <row r="172">
          <cell r="AA172">
            <v>0</v>
          </cell>
          <cell r="AB172">
            <v>0</v>
          </cell>
          <cell r="AD172">
            <v>0</v>
          </cell>
        </row>
      </sheetData>
      <sheetData sheetId="11">
        <row r="24">
          <cell r="AC24">
            <v>0</v>
          </cell>
          <cell r="AF24">
            <v>0</v>
          </cell>
        </row>
        <row r="25">
          <cell r="AC25">
            <v>0</v>
          </cell>
          <cell r="AF25">
            <v>0</v>
          </cell>
        </row>
        <row r="27">
          <cell r="AC27">
            <v>0</v>
          </cell>
          <cell r="AF27">
            <v>0</v>
          </cell>
        </row>
        <row r="28">
          <cell r="AC28">
            <v>0</v>
          </cell>
          <cell r="AF28">
            <v>0</v>
          </cell>
        </row>
        <row r="29">
          <cell r="AC29">
            <v>0</v>
          </cell>
          <cell r="AF29">
            <v>0</v>
          </cell>
        </row>
        <row r="30">
          <cell r="AC30">
            <v>0</v>
          </cell>
          <cell r="AF30">
            <v>0</v>
          </cell>
        </row>
        <row r="31">
          <cell r="AC31">
            <v>0</v>
          </cell>
          <cell r="AF31">
            <v>0</v>
          </cell>
        </row>
        <row r="32">
          <cell r="AC32">
            <v>0</v>
          </cell>
          <cell r="AF32">
            <v>0</v>
          </cell>
        </row>
        <row r="33">
          <cell r="AC33">
            <v>0</v>
          </cell>
          <cell r="AF33">
            <v>0</v>
          </cell>
        </row>
        <row r="34">
          <cell r="AC34">
            <v>0</v>
          </cell>
          <cell r="AF34">
            <v>0</v>
          </cell>
        </row>
        <row r="36">
          <cell r="AC36">
            <v>0</v>
          </cell>
          <cell r="AF36">
            <v>0</v>
          </cell>
        </row>
        <row r="37">
          <cell r="AC37">
            <v>0</v>
          </cell>
          <cell r="AF37">
            <v>0</v>
          </cell>
        </row>
        <row r="39">
          <cell r="AC39">
            <v>0</v>
          </cell>
          <cell r="AF39">
            <v>0</v>
          </cell>
        </row>
        <row r="40">
          <cell r="AC40">
            <v>0</v>
          </cell>
          <cell r="AF40">
            <v>0</v>
          </cell>
        </row>
        <row r="41">
          <cell r="AC41">
            <v>0</v>
          </cell>
          <cell r="AF41">
            <v>0</v>
          </cell>
        </row>
        <row r="43">
          <cell r="AC43">
            <v>0</v>
          </cell>
          <cell r="AF43">
            <v>0</v>
          </cell>
        </row>
        <row r="44">
          <cell r="AC44">
            <v>0</v>
          </cell>
          <cell r="AF44">
            <v>0</v>
          </cell>
        </row>
        <row r="45">
          <cell r="AC45">
            <v>0</v>
          </cell>
          <cell r="AF45">
            <v>0</v>
          </cell>
        </row>
        <row r="47">
          <cell r="AC47">
            <v>0</v>
          </cell>
          <cell r="AF47">
            <v>0</v>
          </cell>
        </row>
        <row r="48">
          <cell r="AC48">
            <v>0</v>
          </cell>
          <cell r="AF48">
            <v>0</v>
          </cell>
        </row>
        <row r="49">
          <cell r="AC49">
            <v>0</v>
          </cell>
          <cell r="AF49">
            <v>0</v>
          </cell>
        </row>
        <row r="50">
          <cell r="AC50">
            <v>0</v>
          </cell>
          <cell r="AF50">
            <v>0</v>
          </cell>
        </row>
        <row r="51">
          <cell r="AC51">
            <v>0</v>
          </cell>
          <cell r="AF51">
            <v>0</v>
          </cell>
        </row>
        <row r="52">
          <cell r="AC52">
            <v>0</v>
          </cell>
          <cell r="AF52">
            <v>0</v>
          </cell>
        </row>
        <row r="53">
          <cell r="AC53">
            <v>0</v>
          </cell>
          <cell r="AF53">
            <v>0</v>
          </cell>
        </row>
        <row r="55">
          <cell r="AC55">
            <v>0</v>
          </cell>
          <cell r="AF55">
            <v>0</v>
          </cell>
        </row>
        <row r="56">
          <cell r="AC56">
            <v>0</v>
          </cell>
          <cell r="AF56">
            <v>0</v>
          </cell>
        </row>
        <row r="57">
          <cell r="AC57">
            <v>0</v>
          </cell>
          <cell r="AF57">
            <v>0</v>
          </cell>
        </row>
        <row r="58">
          <cell r="AC58">
            <v>0</v>
          </cell>
          <cell r="AF58">
            <v>0</v>
          </cell>
        </row>
        <row r="59">
          <cell r="AC59">
            <v>0</v>
          </cell>
          <cell r="AF59">
            <v>0</v>
          </cell>
        </row>
        <row r="60">
          <cell r="AC60">
            <v>0</v>
          </cell>
          <cell r="AF60">
            <v>0</v>
          </cell>
        </row>
        <row r="61">
          <cell r="AC61">
            <v>0</v>
          </cell>
          <cell r="AF61">
            <v>0</v>
          </cell>
        </row>
        <row r="62">
          <cell r="AC62">
            <v>0</v>
          </cell>
          <cell r="AF62">
            <v>0</v>
          </cell>
        </row>
        <row r="63">
          <cell r="AC63">
            <v>0</v>
          </cell>
          <cell r="AF63">
            <v>0</v>
          </cell>
        </row>
        <row r="64">
          <cell r="AC64">
            <v>0</v>
          </cell>
          <cell r="AF64">
            <v>0</v>
          </cell>
        </row>
        <row r="65">
          <cell r="AC65">
            <v>0</v>
          </cell>
          <cell r="AF65">
            <v>0</v>
          </cell>
        </row>
        <row r="66">
          <cell r="AC66">
            <v>0</v>
          </cell>
          <cell r="AF66">
            <v>0</v>
          </cell>
        </row>
        <row r="67">
          <cell r="AC67">
            <v>0</v>
          </cell>
          <cell r="AF67">
            <v>0</v>
          </cell>
        </row>
        <row r="68">
          <cell r="AC68">
            <v>0</v>
          </cell>
          <cell r="AF68">
            <v>0</v>
          </cell>
        </row>
        <row r="69">
          <cell r="AC69">
            <v>0</v>
          </cell>
          <cell r="AF69">
            <v>0</v>
          </cell>
        </row>
        <row r="70">
          <cell r="AC70">
            <v>0</v>
          </cell>
          <cell r="AF70">
            <v>0</v>
          </cell>
        </row>
        <row r="71">
          <cell r="AC71">
            <v>0</v>
          </cell>
          <cell r="AF71">
            <v>0</v>
          </cell>
        </row>
        <row r="72">
          <cell r="AC72">
            <v>0</v>
          </cell>
          <cell r="AF72">
            <v>0</v>
          </cell>
        </row>
        <row r="73">
          <cell r="AC73">
            <v>0</v>
          </cell>
          <cell r="AF73">
            <v>0</v>
          </cell>
        </row>
        <row r="74">
          <cell r="AC74">
            <v>0</v>
          </cell>
          <cell r="AF74">
            <v>0</v>
          </cell>
        </row>
        <row r="75">
          <cell r="AC75">
            <v>0</v>
          </cell>
          <cell r="AF75">
            <v>0</v>
          </cell>
        </row>
        <row r="76">
          <cell r="AC76">
            <v>0</v>
          </cell>
          <cell r="AF76">
            <v>0</v>
          </cell>
        </row>
        <row r="77">
          <cell r="AC77">
            <v>0</v>
          </cell>
          <cell r="AF77">
            <v>0</v>
          </cell>
        </row>
        <row r="78">
          <cell r="AC78">
            <v>0</v>
          </cell>
          <cell r="AF78">
            <v>0</v>
          </cell>
        </row>
        <row r="79">
          <cell r="AC79">
            <v>0</v>
          </cell>
          <cell r="AF79">
            <v>0</v>
          </cell>
        </row>
        <row r="80">
          <cell r="AC80">
            <v>0</v>
          </cell>
          <cell r="AF80">
            <v>0</v>
          </cell>
        </row>
        <row r="81">
          <cell r="AC81">
            <v>0</v>
          </cell>
          <cell r="AF81">
            <v>0</v>
          </cell>
        </row>
        <row r="83">
          <cell r="AC83">
            <v>0</v>
          </cell>
          <cell r="AF83">
            <v>0</v>
          </cell>
        </row>
        <row r="84">
          <cell r="AC84">
            <v>0</v>
          </cell>
          <cell r="AF84">
            <v>0</v>
          </cell>
        </row>
        <row r="85">
          <cell r="AC85">
            <v>0</v>
          </cell>
          <cell r="AF85">
            <v>0</v>
          </cell>
        </row>
        <row r="86">
          <cell r="AC86">
            <v>0</v>
          </cell>
          <cell r="AF86">
            <v>0</v>
          </cell>
        </row>
        <row r="87">
          <cell r="AC87">
            <v>0</v>
          </cell>
          <cell r="AF87">
            <v>0</v>
          </cell>
        </row>
        <row r="88">
          <cell r="AC88">
            <v>0</v>
          </cell>
          <cell r="AF88">
            <v>0</v>
          </cell>
        </row>
        <row r="89">
          <cell r="AC89">
            <v>0</v>
          </cell>
          <cell r="AF89">
            <v>0</v>
          </cell>
        </row>
        <row r="90">
          <cell r="AC90">
            <v>0</v>
          </cell>
          <cell r="AF90">
            <v>0</v>
          </cell>
        </row>
        <row r="91">
          <cell r="AC91">
            <v>0</v>
          </cell>
          <cell r="AF91">
            <v>0</v>
          </cell>
        </row>
        <row r="92">
          <cell r="AC92">
            <v>0</v>
          </cell>
          <cell r="AF92">
            <v>0</v>
          </cell>
        </row>
        <row r="93">
          <cell r="AC93">
            <v>0</v>
          </cell>
          <cell r="AF93">
            <v>0</v>
          </cell>
        </row>
        <row r="94">
          <cell r="AC94">
            <v>0</v>
          </cell>
          <cell r="AF94">
            <v>0</v>
          </cell>
        </row>
        <row r="95">
          <cell r="AC95">
            <v>0</v>
          </cell>
          <cell r="AF95">
            <v>0</v>
          </cell>
        </row>
        <row r="96">
          <cell r="AC96">
            <v>0</v>
          </cell>
          <cell r="AF96">
            <v>0</v>
          </cell>
        </row>
        <row r="97">
          <cell r="AC97">
            <v>0</v>
          </cell>
          <cell r="AF97">
            <v>0</v>
          </cell>
        </row>
        <row r="98">
          <cell r="AC98">
            <v>0</v>
          </cell>
          <cell r="AF98">
            <v>0</v>
          </cell>
        </row>
        <row r="99">
          <cell r="AC99">
            <v>0</v>
          </cell>
          <cell r="AF99">
            <v>0</v>
          </cell>
        </row>
        <row r="100">
          <cell r="AC100">
            <v>0</v>
          </cell>
          <cell r="AF100">
            <v>0</v>
          </cell>
        </row>
        <row r="101">
          <cell r="AC101">
            <v>0</v>
          </cell>
          <cell r="AF101">
            <v>0</v>
          </cell>
        </row>
        <row r="102">
          <cell r="AC102">
            <v>0</v>
          </cell>
          <cell r="AF102">
            <v>0</v>
          </cell>
        </row>
        <row r="103">
          <cell r="AC103">
            <v>0</v>
          </cell>
          <cell r="AF103">
            <v>0</v>
          </cell>
        </row>
        <row r="104">
          <cell r="AC104">
            <v>0</v>
          </cell>
          <cell r="AF104">
            <v>0</v>
          </cell>
        </row>
        <row r="105">
          <cell r="AC105">
            <v>0</v>
          </cell>
          <cell r="AF105">
            <v>0</v>
          </cell>
        </row>
        <row r="106">
          <cell r="AC106">
            <v>0</v>
          </cell>
          <cell r="AF106">
            <v>0</v>
          </cell>
        </row>
        <row r="107">
          <cell r="AC107">
            <v>0</v>
          </cell>
          <cell r="AF107">
            <v>0</v>
          </cell>
        </row>
        <row r="108">
          <cell r="AC108">
            <v>0</v>
          </cell>
          <cell r="AF108">
            <v>0</v>
          </cell>
        </row>
        <row r="110">
          <cell r="AC110">
            <v>0</v>
          </cell>
          <cell r="AF110">
            <v>0</v>
          </cell>
        </row>
        <row r="111">
          <cell r="AC111">
            <v>0</v>
          </cell>
          <cell r="AF111">
            <v>0</v>
          </cell>
        </row>
        <row r="112">
          <cell r="AC112">
            <v>0</v>
          </cell>
          <cell r="AF112">
            <v>0</v>
          </cell>
        </row>
        <row r="113">
          <cell r="AC113">
            <v>0</v>
          </cell>
          <cell r="AF113">
            <v>0</v>
          </cell>
        </row>
        <row r="114">
          <cell r="AC114">
            <v>0</v>
          </cell>
          <cell r="AF114">
            <v>0</v>
          </cell>
        </row>
        <row r="115">
          <cell r="AC115">
            <v>0</v>
          </cell>
          <cell r="AF115">
            <v>0</v>
          </cell>
        </row>
        <row r="116">
          <cell r="AC116">
            <v>0</v>
          </cell>
          <cell r="AF116">
            <v>0</v>
          </cell>
        </row>
        <row r="117">
          <cell r="AC117">
            <v>0</v>
          </cell>
          <cell r="AF117">
            <v>0</v>
          </cell>
        </row>
        <row r="118">
          <cell r="AC118">
            <v>0</v>
          </cell>
          <cell r="AF118">
            <v>0</v>
          </cell>
        </row>
        <row r="119">
          <cell r="AC119">
            <v>0</v>
          </cell>
          <cell r="AF119">
            <v>0</v>
          </cell>
        </row>
        <row r="120">
          <cell r="AC120">
            <v>0</v>
          </cell>
          <cell r="AF120">
            <v>0</v>
          </cell>
        </row>
        <row r="122">
          <cell r="AC122">
            <v>0</v>
          </cell>
          <cell r="AF122">
            <v>0</v>
          </cell>
        </row>
        <row r="123">
          <cell r="AC123">
            <v>0</v>
          </cell>
          <cell r="AF123">
            <v>0</v>
          </cell>
        </row>
        <row r="124">
          <cell r="AC124">
            <v>0</v>
          </cell>
          <cell r="AF124">
            <v>0</v>
          </cell>
        </row>
        <row r="125">
          <cell r="AC125">
            <v>0</v>
          </cell>
          <cell r="AF125">
            <v>0</v>
          </cell>
        </row>
        <row r="126">
          <cell r="AC126">
            <v>0</v>
          </cell>
          <cell r="AF126">
            <v>0</v>
          </cell>
        </row>
        <row r="127">
          <cell r="AC127">
            <v>0</v>
          </cell>
          <cell r="AF127">
            <v>0</v>
          </cell>
        </row>
        <row r="128">
          <cell r="AC128">
            <v>0</v>
          </cell>
          <cell r="AF128">
            <v>0</v>
          </cell>
        </row>
        <row r="130">
          <cell r="AC130">
            <v>0</v>
          </cell>
          <cell r="AF130">
            <v>0</v>
          </cell>
        </row>
        <row r="131">
          <cell r="AC131">
            <v>0</v>
          </cell>
          <cell r="AF131">
            <v>0</v>
          </cell>
        </row>
        <row r="132">
          <cell r="AC132">
            <v>0</v>
          </cell>
          <cell r="AF132">
            <v>0</v>
          </cell>
        </row>
        <row r="133">
          <cell r="AC133">
            <v>0</v>
          </cell>
          <cell r="AF133">
            <v>0</v>
          </cell>
        </row>
        <row r="134">
          <cell r="AC134">
            <v>0</v>
          </cell>
          <cell r="AF134">
            <v>0</v>
          </cell>
        </row>
        <row r="136">
          <cell r="AC136">
            <v>0</v>
          </cell>
          <cell r="AF136">
            <v>0</v>
          </cell>
        </row>
        <row r="137">
          <cell r="AC137">
            <v>0</v>
          </cell>
          <cell r="AF137">
            <v>0</v>
          </cell>
        </row>
        <row r="138">
          <cell r="AC138">
            <v>0</v>
          </cell>
          <cell r="AF138">
            <v>0</v>
          </cell>
        </row>
        <row r="139">
          <cell r="AC139">
            <v>0</v>
          </cell>
          <cell r="AF139">
            <v>0</v>
          </cell>
        </row>
        <row r="140">
          <cell r="AC140">
            <v>0</v>
          </cell>
          <cell r="AF140">
            <v>0</v>
          </cell>
        </row>
        <row r="141">
          <cell r="AC141">
            <v>0</v>
          </cell>
          <cell r="AF141">
            <v>0</v>
          </cell>
        </row>
        <row r="142">
          <cell r="AC142">
            <v>0</v>
          </cell>
          <cell r="AF142">
            <v>0</v>
          </cell>
        </row>
        <row r="143">
          <cell r="AC143">
            <v>0</v>
          </cell>
          <cell r="AF143">
            <v>0</v>
          </cell>
        </row>
        <row r="144">
          <cell r="AC144">
            <v>0</v>
          </cell>
          <cell r="AF144">
            <v>0</v>
          </cell>
        </row>
        <row r="145">
          <cell r="AC145">
            <v>0</v>
          </cell>
          <cell r="AF145">
            <v>0</v>
          </cell>
        </row>
        <row r="146">
          <cell r="AC146">
            <v>0</v>
          </cell>
          <cell r="AF146">
            <v>0</v>
          </cell>
        </row>
        <row r="147">
          <cell r="AC147">
            <v>0</v>
          </cell>
          <cell r="AF147">
            <v>0</v>
          </cell>
        </row>
        <row r="149">
          <cell r="AC149">
            <v>0</v>
          </cell>
          <cell r="AF149">
            <v>0</v>
          </cell>
        </row>
        <row r="150">
          <cell r="AC150">
            <v>0</v>
          </cell>
          <cell r="AF150">
            <v>0</v>
          </cell>
        </row>
        <row r="151">
          <cell r="AC151">
            <v>0</v>
          </cell>
          <cell r="AF151">
            <v>0</v>
          </cell>
        </row>
        <row r="152">
          <cell r="AC152">
            <v>0</v>
          </cell>
          <cell r="AF152">
            <v>0</v>
          </cell>
        </row>
        <row r="153">
          <cell r="AC153">
            <v>0</v>
          </cell>
          <cell r="AF153">
            <v>0</v>
          </cell>
        </row>
        <row r="154">
          <cell r="AC154">
            <v>0</v>
          </cell>
          <cell r="AF154">
            <v>0</v>
          </cell>
        </row>
        <row r="155">
          <cell r="AC155">
            <v>0</v>
          </cell>
          <cell r="AF155">
            <v>0</v>
          </cell>
        </row>
        <row r="156">
          <cell r="AC156">
            <v>0</v>
          </cell>
          <cell r="AF156">
            <v>0</v>
          </cell>
        </row>
        <row r="157">
          <cell r="AC157">
            <v>0</v>
          </cell>
          <cell r="AF157">
            <v>0</v>
          </cell>
        </row>
        <row r="158">
          <cell r="AC158">
            <v>0</v>
          </cell>
          <cell r="AF158">
            <v>0</v>
          </cell>
        </row>
        <row r="160">
          <cell r="AC160">
            <v>0</v>
          </cell>
          <cell r="AF160">
            <v>0</v>
          </cell>
        </row>
        <row r="161">
          <cell r="AC161">
            <v>0</v>
          </cell>
          <cell r="AF161">
            <v>0</v>
          </cell>
        </row>
        <row r="163">
          <cell r="AC163">
            <v>0</v>
          </cell>
          <cell r="AF163">
            <v>0</v>
          </cell>
        </row>
        <row r="164">
          <cell r="AC164">
            <v>0</v>
          </cell>
          <cell r="AF164">
            <v>0</v>
          </cell>
        </row>
        <row r="165">
          <cell r="AC165">
            <v>0</v>
          </cell>
          <cell r="AF165">
            <v>0</v>
          </cell>
        </row>
        <row r="166">
          <cell r="AC166">
            <v>0</v>
          </cell>
          <cell r="AF166">
            <v>0</v>
          </cell>
        </row>
        <row r="167">
          <cell r="AC167">
            <v>0</v>
          </cell>
          <cell r="AF167">
            <v>0</v>
          </cell>
        </row>
        <row r="168">
          <cell r="AC168">
            <v>0</v>
          </cell>
          <cell r="AF168">
            <v>0</v>
          </cell>
        </row>
        <row r="169">
          <cell r="AC169">
            <v>0</v>
          </cell>
          <cell r="AF169">
            <v>0</v>
          </cell>
        </row>
        <row r="170">
          <cell r="AC170">
            <v>0</v>
          </cell>
          <cell r="AF170">
            <v>0</v>
          </cell>
        </row>
        <row r="171">
          <cell r="AC171">
            <v>0</v>
          </cell>
          <cell r="AF171">
            <v>0</v>
          </cell>
        </row>
        <row r="172">
          <cell r="AC172">
            <v>0</v>
          </cell>
          <cell r="AF172">
            <v>0</v>
          </cell>
        </row>
        <row r="173">
          <cell r="AC173">
            <v>0</v>
          </cell>
          <cell r="AF173">
            <v>0</v>
          </cell>
        </row>
        <row r="174">
          <cell r="AC174">
            <v>0</v>
          </cell>
          <cell r="AF174">
            <v>0</v>
          </cell>
        </row>
        <row r="175">
          <cell r="AC175">
            <v>0</v>
          </cell>
          <cell r="AF175">
            <v>0</v>
          </cell>
        </row>
        <row r="176">
          <cell r="AC176">
            <v>0</v>
          </cell>
          <cell r="AF176">
            <v>0</v>
          </cell>
        </row>
        <row r="177">
          <cell r="AC177">
            <v>0</v>
          </cell>
          <cell r="AF177">
            <v>0</v>
          </cell>
        </row>
        <row r="178">
          <cell r="AD178">
            <v>0</v>
          </cell>
          <cell r="AE178">
            <v>0</v>
          </cell>
          <cell r="AG178">
            <v>0</v>
          </cell>
          <cell r="FD178">
            <v>0</v>
          </cell>
        </row>
      </sheetData>
      <sheetData sheetId="12">
        <row r="18">
          <cell r="G18">
            <v>1703764.0240202525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143441.23159133462</v>
          </cell>
        </row>
        <row r="20">
          <cell r="AA20">
            <v>0</v>
          </cell>
          <cell r="AB20">
            <v>0</v>
          </cell>
          <cell r="AD20">
            <v>0</v>
          </cell>
        </row>
        <row r="21">
          <cell r="AA21">
            <v>0</v>
          </cell>
          <cell r="AB21">
            <v>0</v>
          </cell>
          <cell r="AD21">
            <v>0</v>
          </cell>
        </row>
        <row r="23">
          <cell r="AA23">
            <v>0</v>
          </cell>
          <cell r="AB23">
            <v>0</v>
          </cell>
          <cell r="AD23">
            <v>0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5">
          <cell r="AA25">
            <v>0</v>
          </cell>
          <cell r="AB25">
            <v>0</v>
          </cell>
          <cell r="AD25">
            <v>0</v>
          </cell>
        </row>
        <row r="26">
          <cell r="AA26">
            <v>0</v>
          </cell>
          <cell r="AB26">
            <v>0</v>
          </cell>
          <cell r="AD26">
            <v>0</v>
          </cell>
        </row>
        <row r="27">
          <cell r="AA27">
            <v>0</v>
          </cell>
          <cell r="AB27">
            <v>0</v>
          </cell>
          <cell r="AD27">
            <v>0</v>
          </cell>
        </row>
        <row r="28">
          <cell r="AA28">
            <v>0</v>
          </cell>
          <cell r="AB28">
            <v>0</v>
          </cell>
          <cell r="AD28">
            <v>0</v>
          </cell>
        </row>
        <row r="29">
          <cell r="AA29">
            <v>0</v>
          </cell>
          <cell r="AB29">
            <v>0</v>
          </cell>
          <cell r="AD29">
            <v>0</v>
          </cell>
        </row>
        <row r="30">
          <cell r="AA30">
            <v>0</v>
          </cell>
          <cell r="AB30">
            <v>0</v>
          </cell>
          <cell r="AD30">
            <v>0</v>
          </cell>
        </row>
        <row r="32">
          <cell r="AA32">
            <v>0</v>
          </cell>
          <cell r="AB32">
            <v>0</v>
          </cell>
          <cell r="AD32">
            <v>0</v>
          </cell>
        </row>
        <row r="33">
          <cell r="AA33">
            <v>0</v>
          </cell>
          <cell r="AB33">
            <v>0</v>
          </cell>
          <cell r="AD33">
            <v>0</v>
          </cell>
        </row>
        <row r="35">
          <cell r="AA35">
            <v>0</v>
          </cell>
          <cell r="AB35">
            <v>0</v>
          </cell>
          <cell r="AD35">
            <v>0</v>
          </cell>
        </row>
        <row r="36">
          <cell r="AA36">
            <v>0</v>
          </cell>
          <cell r="AB36">
            <v>0</v>
          </cell>
          <cell r="AD36">
            <v>0</v>
          </cell>
        </row>
        <row r="37">
          <cell r="AA37">
            <v>0</v>
          </cell>
          <cell r="AB37">
            <v>0</v>
          </cell>
          <cell r="AD37">
            <v>0</v>
          </cell>
        </row>
        <row r="39">
          <cell r="AA39">
            <v>0</v>
          </cell>
          <cell r="AB39">
            <v>0</v>
          </cell>
          <cell r="AD39">
            <v>0</v>
          </cell>
        </row>
        <row r="40">
          <cell r="AA40">
            <v>0</v>
          </cell>
          <cell r="AB40">
            <v>0</v>
          </cell>
          <cell r="AD40">
            <v>0</v>
          </cell>
        </row>
        <row r="41">
          <cell r="AA41">
            <v>0</v>
          </cell>
          <cell r="AB41">
            <v>0</v>
          </cell>
          <cell r="AD41">
            <v>0</v>
          </cell>
        </row>
        <row r="43">
          <cell r="AA43">
            <v>0</v>
          </cell>
          <cell r="AB43">
            <v>0</v>
          </cell>
          <cell r="AD43">
            <v>0</v>
          </cell>
        </row>
        <row r="44">
          <cell r="AA44">
            <v>0</v>
          </cell>
          <cell r="AB44">
            <v>0</v>
          </cell>
          <cell r="AD44">
            <v>0</v>
          </cell>
        </row>
        <row r="45">
          <cell r="AA45">
            <v>0</v>
          </cell>
          <cell r="AB45">
            <v>0</v>
          </cell>
          <cell r="AD45">
            <v>0</v>
          </cell>
        </row>
        <row r="46">
          <cell r="AA46">
            <v>0</v>
          </cell>
          <cell r="AB46">
            <v>0</v>
          </cell>
          <cell r="AD46">
            <v>0</v>
          </cell>
        </row>
        <row r="47">
          <cell r="AA47">
            <v>0</v>
          </cell>
          <cell r="AB47">
            <v>0</v>
          </cell>
          <cell r="AD47">
            <v>0</v>
          </cell>
        </row>
        <row r="48">
          <cell r="AA48">
            <v>0</v>
          </cell>
          <cell r="AB48">
            <v>0</v>
          </cell>
          <cell r="AD48">
            <v>0</v>
          </cell>
        </row>
        <row r="49">
          <cell r="AA49">
            <v>0</v>
          </cell>
          <cell r="AB49">
            <v>0</v>
          </cell>
          <cell r="AD49">
            <v>0</v>
          </cell>
        </row>
        <row r="51">
          <cell r="AA51">
            <v>0</v>
          </cell>
          <cell r="AB51">
            <v>0</v>
          </cell>
          <cell r="AD51">
            <v>0</v>
          </cell>
        </row>
        <row r="52">
          <cell r="AA52">
            <v>0</v>
          </cell>
          <cell r="AB52">
            <v>0</v>
          </cell>
          <cell r="AD52">
            <v>0</v>
          </cell>
        </row>
        <row r="53">
          <cell r="AA53">
            <v>0</v>
          </cell>
          <cell r="AB53">
            <v>0</v>
          </cell>
          <cell r="AD53">
            <v>0</v>
          </cell>
        </row>
        <row r="54">
          <cell r="AA54">
            <v>0</v>
          </cell>
          <cell r="AB54">
            <v>0</v>
          </cell>
          <cell r="AD54">
            <v>250.04663311355364</v>
          </cell>
        </row>
        <row r="55">
          <cell r="AA55">
            <v>0</v>
          </cell>
          <cell r="AB55">
            <v>0</v>
          </cell>
          <cell r="AD55">
            <v>0</v>
          </cell>
        </row>
        <row r="56">
          <cell r="AA56">
            <v>0</v>
          </cell>
          <cell r="AB56">
            <v>0</v>
          </cell>
          <cell r="AD56">
            <v>0</v>
          </cell>
        </row>
        <row r="57">
          <cell r="AA57">
            <v>0</v>
          </cell>
          <cell r="AB57">
            <v>0</v>
          </cell>
          <cell r="AD57">
            <v>0</v>
          </cell>
        </row>
        <row r="58">
          <cell r="AA58">
            <v>0</v>
          </cell>
          <cell r="AB58">
            <v>0</v>
          </cell>
          <cell r="AD58">
            <v>0</v>
          </cell>
        </row>
        <row r="59">
          <cell r="AA59">
            <v>0</v>
          </cell>
          <cell r="AB59">
            <v>0</v>
          </cell>
          <cell r="AD59">
            <v>0</v>
          </cell>
        </row>
        <row r="60">
          <cell r="AA60">
            <v>0</v>
          </cell>
          <cell r="AB60">
            <v>0</v>
          </cell>
          <cell r="AD60">
            <v>0</v>
          </cell>
        </row>
        <row r="61">
          <cell r="AA61">
            <v>0</v>
          </cell>
          <cell r="AB61">
            <v>0</v>
          </cell>
          <cell r="AD61">
            <v>0</v>
          </cell>
        </row>
        <row r="62">
          <cell r="AA62">
            <v>0</v>
          </cell>
          <cell r="AB62">
            <v>0</v>
          </cell>
          <cell r="AD62">
            <v>0</v>
          </cell>
        </row>
        <row r="63">
          <cell r="AA63">
            <v>0</v>
          </cell>
          <cell r="AB63">
            <v>0</v>
          </cell>
          <cell r="AD63">
            <v>0</v>
          </cell>
        </row>
        <row r="64">
          <cell r="AA64">
            <v>0</v>
          </cell>
          <cell r="AB64">
            <v>0</v>
          </cell>
          <cell r="AD64">
            <v>0</v>
          </cell>
        </row>
        <row r="65">
          <cell r="AA65">
            <v>0</v>
          </cell>
          <cell r="AB65">
            <v>0</v>
          </cell>
          <cell r="AD65">
            <v>0</v>
          </cell>
        </row>
        <row r="66">
          <cell r="AA66">
            <v>0</v>
          </cell>
          <cell r="AB66">
            <v>0</v>
          </cell>
          <cell r="AD66">
            <v>0</v>
          </cell>
        </row>
        <row r="67">
          <cell r="AA67">
            <v>0</v>
          </cell>
          <cell r="AB67">
            <v>0</v>
          </cell>
          <cell r="AD67">
            <v>0</v>
          </cell>
        </row>
        <row r="68">
          <cell r="AA68">
            <v>0</v>
          </cell>
          <cell r="AB68">
            <v>0</v>
          </cell>
          <cell r="AD68">
            <v>0</v>
          </cell>
        </row>
        <row r="69">
          <cell r="AA69">
            <v>0</v>
          </cell>
          <cell r="AB69">
            <v>0</v>
          </cell>
          <cell r="AD69">
            <v>0</v>
          </cell>
        </row>
        <row r="70">
          <cell r="AA70">
            <v>0</v>
          </cell>
          <cell r="AB70">
            <v>0</v>
          </cell>
          <cell r="AD70">
            <v>0</v>
          </cell>
        </row>
        <row r="71">
          <cell r="AA71">
            <v>0</v>
          </cell>
          <cell r="AB71">
            <v>0</v>
          </cell>
          <cell r="AD71">
            <v>0</v>
          </cell>
        </row>
        <row r="72">
          <cell r="AA72">
            <v>0</v>
          </cell>
          <cell r="AB72">
            <v>0</v>
          </cell>
          <cell r="AD72">
            <v>0</v>
          </cell>
        </row>
        <row r="73">
          <cell r="AA73">
            <v>0</v>
          </cell>
          <cell r="AB73">
            <v>0</v>
          </cell>
          <cell r="AD73">
            <v>0</v>
          </cell>
        </row>
        <row r="74">
          <cell r="AA74">
            <v>0</v>
          </cell>
          <cell r="AB74">
            <v>0</v>
          </cell>
          <cell r="AD74">
            <v>-2.2859378319801795E-5</v>
          </cell>
        </row>
        <row r="75">
          <cell r="AA75">
            <v>0</v>
          </cell>
          <cell r="AB75">
            <v>0</v>
          </cell>
          <cell r="AD75">
            <v>119.77017746490154</v>
          </cell>
        </row>
        <row r="76">
          <cell r="AA76">
            <v>0</v>
          </cell>
          <cell r="AB76">
            <v>0</v>
          </cell>
          <cell r="AD76">
            <v>0</v>
          </cell>
        </row>
        <row r="77">
          <cell r="AA77">
            <v>0</v>
          </cell>
          <cell r="AB77">
            <v>0</v>
          </cell>
          <cell r="AD77">
            <v>0</v>
          </cell>
        </row>
        <row r="79">
          <cell r="AA79">
            <v>0</v>
          </cell>
          <cell r="AB79">
            <v>0</v>
          </cell>
          <cell r="AD79">
            <v>0</v>
          </cell>
        </row>
        <row r="80">
          <cell r="AA80">
            <v>0</v>
          </cell>
          <cell r="AB80">
            <v>0</v>
          </cell>
          <cell r="AD80">
            <v>0</v>
          </cell>
        </row>
        <row r="81">
          <cell r="AA81">
            <v>0</v>
          </cell>
          <cell r="AB81">
            <v>0</v>
          </cell>
          <cell r="AD81">
            <v>0</v>
          </cell>
        </row>
        <row r="82">
          <cell r="AA82">
            <v>0</v>
          </cell>
          <cell r="AB82">
            <v>0</v>
          </cell>
          <cell r="AD82">
            <v>0</v>
          </cell>
        </row>
        <row r="83">
          <cell r="AA83">
            <v>0</v>
          </cell>
          <cell r="AB83">
            <v>0</v>
          </cell>
          <cell r="AD83">
            <v>0</v>
          </cell>
        </row>
        <row r="84">
          <cell r="AA84">
            <v>0</v>
          </cell>
          <cell r="AB84">
            <v>0</v>
          </cell>
          <cell r="AD84">
            <v>0</v>
          </cell>
        </row>
        <row r="85">
          <cell r="AA85">
            <v>0</v>
          </cell>
          <cell r="AB85">
            <v>0</v>
          </cell>
          <cell r="AD85">
            <v>0</v>
          </cell>
        </row>
        <row r="86">
          <cell r="AA86">
            <v>0</v>
          </cell>
          <cell r="AB86">
            <v>0</v>
          </cell>
          <cell r="AD86">
            <v>0</v>
          </cell>
        </row>
        <row r="87">
          <cell r="AA87">
            <v>0</v>
          </cell>
          <cell r="AB87">
            <v>0</v>
          </cell>
          <cell r="AD87">
            <v>0</v>
          </cell>
        </row>
        <row r="88">
          <cell r="AA88">
            <v>0</v>
          </cell>
          <cell r="AB88">
            <v>0</v>
          </cell>
          <cell r="AD88">
            <v>0</v>
          </cell>
        </row>
        <row r="89">
          <cell r="AA89">
            <v>0</v>
          </cell>
          <cell r="AB89">
            <v>0</v>
          </cell>
          <cell r="AD89">
            <v>0</v>
          </cell>
        </row>
        <row r="90">
          <cell r="AA90">
            <v>0</v>
          </cell>
          <cell r="AB90">
            <v>0</v>
          </cell>
          <cell r="AD90">
            <v>0</v>
          </cell>
        </row>
        <row r="91">
          <cell r="AA91">
            <v>0</v>
          </cell>
          <cell r="AB91">
            <v>0</v>
          </cell>
          <cell r="AD91">
            <v>0</v>
          </cell>
        </row>
        <row r="92">
          <cell r="AA92">
            <v>0</v>
          </cell>
          <cell r="AB92">
            <v>0</v>
          </cell>
          <cell r="AD92">
            <v>0</v>
          </cell>
        </row>
        <row r="93">
          <cell r="AA93">
            <v>0</v>
          </cell>
          <cell r="AB93">
            <v>0</v>
          </cell>
          <cell r="AD93">
            <v>0</v>
          </cell>
        </row>
        <row r="94">
          <cell r="AA94">
            <v>0</v>
          </cell>
          <cell r="AB94">
            <v>0</v>
          </cell>
          <cell r="AD94">
            <v>0</v>
          </cell>
        </row>
        <row r="95">
          <cell r="AA95">
            <v>0</v>
          </cell>
          <cell r="AB95">
            <v>0</v>
          </cell>
          <cell r="AD95">
            <v>0</v>
          </cell>
        </row>
        <row r="96">
          <cell r="AA96">
            <v>0</v>
          </cell>
          <cell r="AB96">
            <v>0</v>
          </cell>
          <cell r="AD96">
            <v>0</v>
          </cell>
        </row>
        <row r="97">
          <cell r="AA97">
            <v>0</v>
          </cell>
          <cell r="AB97">
            <v>0</v>
          </cell>
          <cell r="AD97">
            <v>244.38480278463561</v>
          </cell>
        </row>
        <row r="98">
          <cell r="AA98">
            <v>0</v>
          </cell>
          <cell r="AB98">
            <v>0</v>
          </cell>
          <cell r="AD98">
            <v>0</v>
          </cell>
        </row>
        <row r="99">
          <cell r="AA99">
            <v>0</v>
          </cell>
          <cell r="AB99">
            <v>0</v>
          </cell>
          <cell r="AD99">
            <v>0</v>
          </cell>
        </row>
        <row r="100">
          <cell r="AA100">
            <v>0</v>
          </cell>
          <cell r="AB100">
            <v>0</v>
          </cell>
          <cell r="AD100">
            <v>0</v>
          </cell>
        </row>
        <row r="101">
          <cell r="AA101">
            <v>0</v>
          </cell>
          <cell r="AB101">
            <v>0</v>
          </cell>
          <cell r="AD101">
            <v>0</v>
          </cell>
        </row>
        <row r="102">
          <cell r="AA102">
            <v>0</v>
          </cell>
          <cell r="AB102">
            <v>0</v>
          </cell>
          <cell r="AD102">
            <v>0</v>
          </cell>
        </row>
        <row r="103">
          <cell r="AA103">
            <v>0</v>
          </cell>
          <cell r="AB103">
            <v>0</v>
          </cell>
          <cell r="AD103">
            <v>0</v>
          </cell>
        </row>
        <row r="104">
          <cell r="AA104">
            <v>0</v>
          </cell>
          <cell r="AB104">
            <v>0</v>
          </cell>
          <cell r="AD104">
            <v>0</v>
          </cell>
        </row>
        <row r="106">
          <cell r="AA106">
            <v>0</v>
          </cell>
          <cell r="AB106">
            <v>0</v>
          </cell>
          <cell r="AD106">
            <v>17840.415099002195</v>
          </cell>
        </row>
        <row r="107">
          <cell r="AA107">
            <v>0</v>
          </cell>
          <cell r="AB107">
            <v>0</v>
          </cell>
          <cell r="AD107">
            <v>332.51319271536585</v>
          </cell>
        </row>
        <row r="108">
          <cell r="AA108">
            <v>0</v>
          </cell>
          <cell r="AB108">
            <v>0</v>
          </cell>
          <cell r="AD108">
            <v>0</v>
          </cell>
        </row>
        <row r="109">
          <cell r="AA109">
            <v>0</v>
          </cell>
          <cell r="AB109">
            <v>0</v>
          </cell>
          <cell r="AD109">
            <v>47.315221484786917</v>
          </cell>
        </row>
        <row r="110">
          <cell r="AA110">
            <v>0</v>
          </cell>
          <cell r="AB110">
            <v>0</v>
          </cell>
          <cell r="AD110">
            <v>0</v>
          </cell>
        </row>
        <row r="111">
          <cell r="AA111">
            <v>0</v>
          </cell>
          <cell r="AB111">
            <v>0</v>
          </cell>
          <cell r="AD111">
            <v>0</v>
          </cell>
        </row>
        <row r="112">
          <cell r="AA112">
            <v>0</v>
          </cell>
          <cell r="AB112">
            <v>0</v>
          </cell>
          <cell r="AD112">
            <v>25.317011125783402</v>
          </cell>
        </row>
        <row r="113">
          <cell r="AA113">
            <v>0</v>
          </cell>
          <cell r="AB113">
            <v>0</v>
          </cell>
          <cell r="AD113">
            <v>0</v>
          </cell>
        </row>
        <row r="114">
          <cell r="AA114">
            <v>0</v>
          </cell>
          <cell r="AB114">
            <v>0</v>
          </cell>
          <cell r="AD114">
            <v>0</v>
          </cell>
        </row>
        <row r="115">
          <cell r="AA115">
            <v>0</v>
          </cell>
          <cell r="AB115">
            <v>0</v>
          </cell>
          <cell r="AD115">
            <v>0</v>
          </cell>
        </row>
        <row r="116">
          <cell r="AA116">
            <v>0</v>
          </cell>
          <cell r="AB116">
            <v>0</v>
          </cell>
          <cell r="AD116">
            <v>0</v>
          </cell>
        </row>
        <row r="118">
          <cell r="AA118">
            <v>0</v>
          </cell>
          <cell r="AB118">
            <v>0</v>
          </cell>
          <cell r="AD118">
            <v>0</v>
          </cell>
        </row>
        <row r="119">
          <cell r="AA119">
            <v>0</v>
          </cell>
          <cell r="AB119">
            <v>0</v>
          </cell>
          <cell r="AD119">
            <v>0</v>
          </cell>
        </row>
        <row r="120">
          <cell r="AA120">
            <v>0</v>
          </cell>
          <cell r="AB120">
            <v>0</v>
          </cell>
          <cell r="AD120">
            <v>0</v>
          </cell>
        </row>
        <row r="121">
          <cell r="AA121">
            <v>0</v>
          </cell>
          <cell r="AB121">
            <v>0</v>
          </cell>
          <cell r="AD121">
            <v>0</v>
          </cell>
        </row>
        <row r="122">
          <cell r="AA122">
            <v>0</v>
          </cell>
          <cell r="AB122">
            <v>0</v>
          </cell>
          <cell r="AD122">
            <v>0</v>
          </cell>
        </row>
        <row r="123">
          <cell r="AA123">
            <v>0</v>
          </cell>
          <cell r="AB123">
            <v>0</v>
          </cell>
          <cell r="AD123">
            <v>0</v>
          </cell>
        </row>
        <row r="124">
          <cell r="AA124">
            <v>0</v>
          </cell>
          <cell r="AB124">
            <v>0</v>
          </cell>
          <cell r="AD124">
            <v>0</v>
          </cell>
        </row>
        <row r="126">
          <cell r="AA126">
            <v>0</v>
          </cell>
          <cell r="AB126">
            <v>0</v>
          </cell>
          <cell r="AD126">
            <v>153.47222490539664</v>
          </cell>
        </row>
        <row r="127">
          <cell r="AA127">
            <v>0</v>
          </cell>
          <cell r="AB127">
            <v>0</v>
          </cell>
          <cell r="AD127">
            <v>0</v>
          </cell>
        </row>
        <row r="128">
          <cell r="AA128">
            <v>0</v>
          </cell>
          <cell r="AB128">
            <v>0</v>
          </cell>
          <cell r="AD128">
            <v>0</v>
          </cell>
        </row>
        <row r="129">
          <cell r="AA129">
            <v>0</v>
          </cell>
          <cell r="AB129">
            <v>0</v>
          </cell>
          <cell r="AD129">
            <v>0</v>
          </cell>
        </row>
        <row r="130">
          <cell r="AA130">
            <v>0</v>
          </cell>
          <cell r="AB130">
            <v>0</v>
          </cell>
          <cell r="AD130">
            <v>0</v>
          </cell>
        </row>
        <row r="132">
          <cell r="AA132">
            <v>0</v>
          </cell>
          <cell r="AB132">
            <v>0</v>
          </cell>
          <cell r="AD132">
            <v>0</v>
          </cell>
        </row>
        <row r="133">
          <cell r="AA133">
            <v>0</v>
          </cell>
          <cell r="AB133">
            <v>0</v>
          </cell>
          <cell r="AD133">
            <v>0</v>
          </cell>
        </row>
        <row r="134">
          <cell r="AA134">
            <v>0</v>
          </cell>
          <cell r="AB134">
            <v>0</v>
          </cell>
          <cell r="AD134">
            <v>321.82938069782233</v>
          </cell>
        </row>
        <row r="135">
          <cell r="AA135">
            <v>0</v>
          </cell>
          <cell r="AB135">
            <v>0</v>
          </cell>
          <cell r="AD135">
            <v>0</v>
          </cell>
        </row>
        <row r="136">
          <cell r="AA136">
            <v>0</v>
          </cell>
          <cell r="AB136">
            <v>0</v>
          </cell>
          <cell r="AD136">
            <v>193.50915297851128</v>
          </cell>
        </row>
        <row r="137">
          <cell r="AA137">
            <v>0</v>
          </cell>
          <cell r="AB137">
            <v>0</v>
          </cell>
          <cell r="AD137">
            <v>199.42944901909885</v>
          </cell>
        </row>
        <row r="138">
          <cell r="AA138">
            <v>0</v>
          </cell>
          <cell r="AB138">
            <v>0</v>
          </cell>
          <cell r="AD138">
            <v>201.77247858123695</v>
          </cell>
        </row>
        <row r="139">
          <cell r="AA139">
            <v>0</v>
          </cell>
          <cell r="AB139">
            <v>0</v>
          </cell>
          <cell r="AD139">
            <v>86.069081985965312</v>
          </cell>
        </row>
        <row r="140">
          <cell r="AA140">
            <v>0</v>
          </cell>
          <cell r="AB140">
            <v>0</v>
          </cell>
          <cell r="AD140">
            <v>172.68203644664902</v>
          </cell>
        </row>
        <row r="141">
          <cell r="AA141">
            <v>0</v>
          </cell>
          <cell r="AB141">
            <v>0</v>
          </cell>
          <cell r="AD141">
            <v>1235.4585246098227</v>
          </cell>
        </row>
        <row r="142">
          <cell r="AA142">
            <v>0</v>
          </cell>
          <cell r="AB142">
            <v>0</v>
          </cell>
          <cell r="AD142">
            <v>0</v>
          </cell>
        </row>
        <row r="143">
          <cell r="AA143">
            <v>0</v>
          </cell>
          <cell r="AB143">
            <v>0</v>
          </cell>
          <cell r="AD143">
            <v>0</v>
          </cell>
        </row>
        <row r="145">
          <cell r="AA145">
            <v>0</v>
          </cell>
          <cell r="AB145">
            <v>0</v>
          </cell>
          <cell r="AD145">
            <v>0</v>
          </cell>
        </row>
        <row r="146">
          <cell r="AA146">
            <v>0</v>
          </cell>
          <cell r="AB146">
            <v>0</v>
          </cell>
          <cell r="AD146">
            <v>56.483598032283879</v>
          </cell>
        </row>
        <row r="147">
          <cell r="AA147">
            <v>0</v>
          </cell>
          <cell r="AB147">
            <v>0</v>
          </cell>
          <cell r="AD147">
            <v>0</v>
          </cell>
        </row>
        <row r="148">
          <cell r="AA148">
            <v>0</v>
          </cell>
          <cell r="AB148">
            <v>0</v>
          </cell>
          <cell r="AD148">
            <v>0</v>
          </cell>
        </row>
        <row r="149">
          <cell r="AA149">
            <v>0</v>
          </cell>
          <cell r="AB149">
            <v>0</v>
          </cell>
          <cell r="AD149">
            <v>0</v>
          </cell>
        </row>
        <row r="150">
          <cell r="AA150">
            <v>0</v>
          </cell>
          <cell r="AB150">
            <v>0</v>
          </cell>
          <cell r="AD150">
            <v>0</v>
          </cell>
        </row>
        <row r="151">
          <cell r="AA151">
            <v>0</v>
          </cell>
          <cell r="AB151">
            <v>0</v>
          </cell>
          <cell r="AD151">
            <v>0</v>
          </cell>
        </row>
        <row r="152">
          <cell r="AA152">
            <v>0</v>
          </cell>
          <cell r="AB152">
            <v>0</v>
          </cell>
          <cell r="AD152">
            <v>0</v>
          </cell>
        </row>
        <row r="153">
          <cell r="AA153">
            <v>0</v>
          </cell>
          <cell r="AB153">
            <v>0</v>
          </cell>
          <cell r="AD153">
            <v>0</v>
          </cell>
        </row>
        <row r="154">
          <cell r="AA154">
            <v>0</v>
          </cell>
          <cell r="AB154">
            <v>0</v>
          </cell>
          <cell r="AD154">
            <v>0</v>
          </cell>
        </row>
        <row r="156">
          <cell r="AA156">
            <v>0</v>
          </cell>
          <cell r="AB156">
            <v>0</v>
          </cell>
          <cell r="AD156">
            <v>0</v>
          </cell>
        </row>
        <row r="157">
          <cell r="AA157">
            <v>0</v>
          </cell>
          <cell r="AB157">
            <v>0</v>
          </cell>
          <cell r="AD157">
            <v>0</v>
          </cell>
        </row>
        <row r="159">
          <cell r="AA159">
            <v>0</v>
          </cell>
          <cell r="AB159">
            <v>0</v>
          </cell>
          <cell r="AD159">
            <v>1174.2274081798039</v>
          </cell>
        </row>
        <row r="160">
          <cell r="AA160">
            <v>0</v>
          </cell>
          <cell r="AB160">
            <v>0</v>
          </cell>
          <cell r="AD160">
            <v>0</v>
          </cell>
        </row>
        <row r="161">
          <cell r="AA161">
            <v>0</v>
          </cell>
          <cell r="AB161">
            <v>0</v>
          </cell>
          <cell r="AD161">
            <v>294.66774946041676</v>
          </cell>
        </row>
        <row r="162">
          <cell r="AA162">
            <v>0</v>
          </cell>
          <cell r="AB162">
            <v>0</v>
          </cell>
          <cell r="AD162">
            <v>168.38157112023814</v>
          </cell>
        </row>
        <row r="163">
          <cell r="AA163">
            <v>0</v>
          </cell>
          <cell r="AB163">
            <v>0</v>
          </cell>
          <cell r="AD163">
            <v>0</v>
          </cell>
        </row>
        <row r="164">
          <cell r="AA164">
            <v>0</v>
          </cell>
          <cell r="AB164">
            <v>0</v>
          </cell>
          <cell r="AD164">
            <v>0</v>
          </cell>
        </row>
        <row r="165">
          <cell r="AA165">
            <v>0</v>
          </cell>
          <cell r="AB165">
            <v>0</v>
          </cell>
          <cell r="AD165">
            <v>0</v>
          </cell>
        </row>
        <row r="166">
          <cell r="AA166">
            <v>0</v>
          </cell>
          <cell r="AB166">
            <v>0</v>
          </cell>
          <cell r="AD166">
            <v>0</v>
          </cell>
        </row>
        <row r="167">
          <cell r="AA167">
            <v>0</v>
          </cell>
          <cell r="AB167">
            <v>0</v>
          </cell>
          <cell r="AD167">
            <v>0</v>
          </cell>
        </row>
        <row r="168">
          <cell r="AA168">
            <v>0</v>
          </cell>
          <cell r="AB168">
            <v>0</v>
          </cell>
          <cell r="AD168">
            <v>0</v>
          </cell>
        </row>
        <row r="169">
          <cell r="AA169">
            <v>0</v>
          </cell>
          <cell r="AB169">
            <v>0</v>
          </cell>
          <cell r="AD169">
            <v>0</v>
          </cell>
        </row>
        <row r="170">
          <cell r="AA170">
            <v>0</v>
          </cell>
          <cell r="AB170">
            <v>0</v>
          </cell>
          <cell r="AD170">
            <v>0</v>
          </cell>
        </row>
        <row r="171">
          <cell r="AA171">
            <v>0</v>
          </cell>
          <cell r="AB171">
            <v>0</v>
          </cell>
          <cell r="AD171">
            <v>0</v>
          </cell>
        </row>
        <row r="172">
          <cell r="AA172">
            <v>0</v>
          </cell>
          <cell r="AB172">
            <v>0</v>
          </cell>
          <cell r="AD172">
            <v>0</v>
          </cell>
        </row>
        <row r="173">
          <cell r="AA173">
            <v>0</v>
          </cell>
          <cell r="AB173">
            <v>0</v>
          </cell>
          <cell r="AD173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78"/>
  <sheetViews>
    <sheetView tabSelected="1" workbookViewId="0">
      <selection sqref="A1:EZ1"/>
    </sheetView>
  </sheetViews>
  <sheetFormatPr defaultRowHeight="15"/>
  <cols>
    <col min="1" max="1" width="2.5703125" customWidth="1"/>
    <col min="2" max="2" width="11.28515625" customWidth="1"/>
    <col min="6" max="6" width="31.5703125" customWidth="1"/>
    <col min="7" max="7" width="13.85546875" customWidth="1"/>
    <col min="8" max="8" width="11.140625" customWidth="1"/>
    <col min="9" max="9" width="11" customWidth="1"/>
    <col min="10" max="10" width="12.85546875" customWidth="1"/>
    <col min="11" max="11" width="11.85546875" customWidth="1"/>
    <col min="13" max="13" width="11.85546875" customWidth="1"/>
    <col min="14" max="14" width="11" customWidth="1"/>
    <col min="16" max="16" width="11.5703125" customWidth="1"/>
    <col min="17" max="17" width="12.7109375" customWidth="1"/>
    <col min="18" max="18" width="10.7109375" customWidth="1"/>
    <col min="19" max="19" width="10.42578125" customWidth="1"/>
    <col min="21" max="21" width="13.140625" customWidth="1"/>
    <col min="22" max="22" width="11.5703125" customWidth="1"/>
    <col min="23" max="23" width="11.140625" customWidth="1"/>
    <col min="25" max="25" width="16.140625" customWidth="1"/>
    <col min="26" max="26" width="9.42578125" customWidth="1"/>
    <col min="27" max="27" width="10.140625" customWidth="1"/>
    <col min="28" max="28" width="11.85546875" customWidth="1"/>
    <col min="29" max="29" width="9.28515625" customWidth="1"/>
    <col min="30" max="30" width="16.42578125" customWidth="1"/>
    <col min="31" max="31" width="14.28515625" customWidth="1"/>
    <col min="32" max="32" width="11.42578125" customWidth="1"/>
    <col min="33" max="34" width="10.85546875" customWidth="1"/>
    <col min="36" max="36" width="12.42578125" customWidth="1"/>
    <col min="37" max="37" width="10.7109375" customWidth="1"/>
    <col min="39" max="39" width="13.140625" customWidth="1"/>
    <col min="40" max="40" width="11.5703125" customWidth="1"/>
    <col min="42" max="42" width="10.28515625" customWidth="1"/>
    <col min="44" max="44" width="16.28515625" customWidth="1"/>
    <col min="45" max="45" width="11.7109375" customWidth="1"/>
    <col min="46" max="46" width="10.28515625" customWidth="1"/>
    <col min="48" max="48" width="15.28515625" customWidth="1"/>
    <col min="49" max="49" width="14.28515625" customWidth="1"/>
    <col min="50" max="50" width="11.42578125" customWidth="1"/>
    <col min="51" max="52" width="10.85546875" customWidth="1"/>
    <col min="54" max="54" width="12.42578125" customWidth="1"/>
    <col min="55" max="55" width="10.7109375" customWidth="1"/>
    <col min="57" max="57" width="13.140625" customWidth="1"/>
    <col min="58" max="58" width="11.5703125" customWidth="1"/>
    <col min="60" max="60" width="10.28515625" customWidth="1"/>
    <col min="62" max="62" width="16.28515625" customWidth="1"/>
    <col min="63" max="63" width="11.7109375" customWidth="1"/>
    <col min="64" max="64" width="10.28515625" customWidth="1"/>
    <col min="66" max="66" width="15.28515625" customWidth="1"/>
    <col min="67" max="67" width="14.28515625" customWidth="1"/>
    <col min="68" max="68" width="11.42578125" customWidth="1"/>
    <col min="69" max="70" width="10.85546875" customWidth="1"/>
    <col min="72" max="72" width="12.42578125" customWidth="1"/>
    <col min="73" max="73" width="10.7109375" customWidth="1"/>
    <col min="75" max="75" width="13.140625" customWidth="1"/>
    <col min="76" max="76" width="11.5703125" customWidth="1"/>
    <col min="78" max="78" width="10.28515625" customWidth="1"/>
    <col min="80" max="80" width="16.28515625" customWidth="1"/>
    <col min="81" max="81" width="11.7109375" customWidth="1"/>
    <col min="82" max="82" width="10.28515625" customWidth="1"/>
    <col min="84" max="84" width="15.28515625" customWidth="1"/>
    <col min="85" max="85" width="14.28515625" customWidth="1"/>
    <col min="86" max="86" width="11.42578125" customWidth="1"/>
    <col min="87" max="88" width="10.85546875" customWidth="1"/>
    <col min="90" max="90" width="12.42578125" customWidth="1"/>
    <col min="91" max="91" width="10.7109375" customWidth="1"/>
    <col min="93" max="93" width="13.140625" customWidth="1"/>
    <col min="94" max="94" width="11.5703125" customWidth="1"/>
    <col min="96" max="96" width="10.28515625" customWidth="1"/>
    <col min="98" max="98" width="16.28515625" customWidth="1"/>
    <col min="99" max="99" width="11.7109375" customWidth="1"/>
    <col min="100" max="100" width="10.28515625" customWidth="1"/>
    <col min="102" max="102" width="15.28515625" customWidth="1"/>
    <col min="103" max="103" width="14.28515625" customWidth="1"/>
    <col min="104" max="104" width="11.42578125" customWidth="1"/>
    <col min="105" max="106" width="10.85546875" customWidth="1"/>
    <col min="108" max="108" width="12.42578125" customWidth="1"/>
    <col min="109" max="109" width="10.7109375" customWidth="1"/>
    <col min="111" max="111" width="13.140625" customWidth="1"/>
    <col min="112" max="112" width="11.5703125" customWidth="1"/>
    <col min="114" max="114" width="10.28515625" customWidth="1"/>
    <col min="116" max="116" width="16.28515625" customWidth="1"/>
    <col min="117" max="117" width="11.7109375" customWidth="1"/>
    <col min="118" max="118" width="10.28515625" customWidth="1"/>
    <col min="120" max="120" width="15.28515625" customWidth="1"/>
    <col min="121" max="121" width="14.28515625" customWidth="1"/>
    <col min="122" max="122" width="11.42578125" customWidth="1"/>
    <col min="123" max="124" width="10.85546875" customWidth="1"/>
    <col min="126" max="126" width="12.42578125" customWidth="1"/>
    <col min="127" max="127" width="10.7109375" customWidth="1"/>
    <col min="129" max="129" width="13.140625" customWidth="1"/>
    <col min="130" max="130" width="11.5703125" customWidth="1"/>
    <col min="132" max="132" width="10.28515625" customWidth="1"/>
    <col min="134" max="134" width="16.28515625" customWidth="1"/>
    <col min="135" max="135" width="11.7109375" customWidth="1"/>
    <col min="136" max="136" width="10.28515625" customWidth="1"/>
    <col min="138" max="138" width="15.28515625" customWidth="1"/>
    <col min="139" max="139" width="14.28515625" customWidth="1"/>
    <col min="140" max="140" width="11.42578125" customWidth="1"/>
    <col min="141" max="142" width="10.85546875" customWidth="1"/>
    <col min="144" max="144" width="12.42578125" customWidth="1"/>
    <col min="145" max="145" width="10.7109375" customWidth="1"/>
    <col min="147" max="147" width="13.140625" customWidth="1"/>
    <col min="148" max="148" width="11.5703125" customWidth="1"/>
    <col min="150" max="150" width="10.28515625" customWidth="1"/>
    <col min="152" max="152" width="16.28515625" customWidth="1"/>
    <col min="153" max="153" width="11.7109375" customWidth="1"/>
    <col min="154" max="154" width="10.28515625" customWidth="1"/>
    <col min="156" max="156" width="15.28515625" customWidth="1"/>
  </cols>
  <sheetData>
    <row r="1" spans="1:156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3"/>
    </row>
    <row r="2" spans="1:156" ht="15.7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3"/>
    </row>
    <row r="3" spans="1:156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6"/>
    </row>
    <row r="4" spans="1:156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</row>
    <row r="5" spans="1:156" ht="15.75" thickBo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10"/>
    </row>
    <row r="6" spans="1:156" ht="15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</row>
    <row r="7" spans="1:156" ht="15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</row>
    <row r="8" spans="1:156" ht="15.7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3" t="s">
        <v>3</v>
      </c>
      <c r="ET8" s="13"/>
      <c r="EU8" s="13"/>
      <c r="EV8" s="13"/>
      <c r="EW8" s="13"/>
      <c r="EX8" s="13"/>
      <c r="EY8" s="13"/>
      <c r="EZ8" s="13"/>
    </row>
    <row r="9" spans="1:156">
      <c r="A9" s="14"/>
      <c r="B9" s="15" t="s">
        <v>4</v>
      </c>
      <c r="C9" s="16"/>
      <c r="D9" s="16"/>
      <c r="E9" s="16"/>
      <c r="F9" s="17"/>
      <c r="G9" s="18" t="s">
        <v>5</v>
      </c>
      <c r="H9" s="19" t="s">
        <v>6</v>
      </c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 t="str">
        <f>SIS062_D_Cstsistema1</f>
        <v>CŠT sistema 1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5" t="str">
        <f>SIS062_D_Cstsistema2</f>
        <v>CŠT sistema 2</v>
      </c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  <c r="BO9" s="25" t="str">
        <f>SIS062_D_Cstsistema3</f>
        <v>CŠT sistema 3</v>
      </c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7"/>
      <c r="CG9" s="25" t="str">
        <f>SIS062_D_Cstsistema4</f>
        <v>CŠT sistema 4</v>
      </c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7"/>
      <c r="CY9" s="25" t="str">
        <f>SIS062_D_Cstsistema5</f>
        <v>CŠT sistema 5</v>
      </c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7"/>
      <c r="DQ9" s="25" t="str">
        <f>SIS062_D_Cstsistema6</f>
        <v>CŠT sistema 6</v>
      </c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7"/>
      <c r="EI9" s="25" t="str">
        <f>SIS062_D_Cstsistema7</f>
        <v>CŠT sistema 7</v>
      </c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7"/>
    </row>
    <row r="10" spans="1:156">
      <c r="A10" s="14"/>
      <c r="B10" s="28"/>
      <c r="C10" s="29"/>
      <c r="D10" s="29"/>
      <c r="E10" s="29"/>
      <c r="F10" s="30"/>
      <c r="G10" s="31"/>
      <c r="H10" s="32" t="s">
        <v>7</v>
      </c>
      <c r="I10" s="33"/>
      <c r="J10" s="33"/>
      <c r="K10" s="33"/>
      <c r="L10" s="34"/>
      <c r="M10" s="34" t="s">
        <v>8</v>
      </c>
      <c r="N10" s="34"/>
      <c r="O10" s="34"/>
      <c r="P10" s="34" t="s">
        <v>9</v>
      </c>
      <c r="Q10" s="34" t="s">
        <v>10</v>
      </c>
      <c r="R10" s="34"/>
      <c r="S10" s="34"/>
      <c r="T10" s="34"/>
      <c r="U10" s="35" t="s">
        <v>11</v>
      </c>
      <c r="V10" s="34" t="s">
        <v>12</v>
      </c>
      <c r="W10" s="34"/>
      <c r="X10" s="34"/>
      <c r="Y10" s="34" t="s">
        <v>13</v>
      </c>
      <c r="Z10" s="34" t="s">
        <v>14</v>
      </c>
      <c r="AA10" s="34"/>
      <c r="AB10" s="34"/>
      <c r="AC10" s="36" t="s">
        <v>15</v>
      </c>
      <c r="AD10" s="37"/>
      <c r="AE10" s="32" t="s">
        <v>7</v>
      </c>
      <c r="AF10" s="33"/>
      <c r="AG10" s="33"/>
      <c r="AH10" s="33"/>
      <c r="AI10" s="34"/>
      <c r="AJ10" s="34" t="s">
        <v>8</v>
      </c>
      <c r="AK10" s="34"/>
      <c r="AL10" s="34"/>
      <c r="AM10" s="34" t="s">
        <v>9</v>
      </c>
      <c r="AN10" s="34" t="s">
        <v>10</v>
      </c>
      <c r="AO10" s="34"/>
      <c r="AP10" s="34"/>
      <c r="AQ10" s="34"/>
      <c r="AR10" s="35" t="s">
        <v>11</v>
      </c>
      <c r="AS10" s="34" t="s">
        <v>12</v>
      </c>
      <c r="AT10" s="34"/>
      <c r="AU10" s="34"/>
      <c r="AV10" s="38" t="s">
        <v>13</v>
      </c>
      <c r="AW10" s="32" t="s">
        <v>7</v>
      </c>
      <c r="AX10" s="33"/>
      <c r="AY10" s="33"/>
      <c r="AZ10" s="33"/>
      <c r="BA10" s="34"/>
      <c r="BB10" s="34" t="s">
        <v>8</v>
      </c>
      <c r="BC10" s="34"/>
      <c r="BD10" s="34"/>
      <c r="BE10" s="34" t="s">
        <v>9</v>
      </c>
      <c r="BF10" s="34" t="s">
        <v>10</v>
      </c>
      <c r="BG10" s="34"/>
      <c r="BH10" s="34"/>
      <c r="BI10" s="34"/>
      <c r="BJ10" s="35" t="s">
        <v>11</v>
      </c>
      <c r="BK10" s="34" t="s">
        <v>12</v>
      </c>
      <c r="BL10" s="34"/>
      <c r="BM10" s="34"/>
      <c r="BN10" s="38" t="s">
        <v>13</v>
      </c>
      <c r="BO10" s="32" t="s">
        <v>7</v>
      </c>
      <c r="BP10" s="33"/>
      <c r="BQ10" s="33"/>
      <c r="BR10" s="33"/>
      <c r="BS10" s="34"/>
      <c r="BT10" s="34" t="s">
        <v>8</v>
      </c>
      <c r="BU10" s="34"/>
      <c r="BV10" s="34"/>
      <c r="BW10" s="34" t="s">
        <v>9</v>
      </c>
      <c r="BX10" s="34" t="s">
        <v>10</v>
      </c>
      <c r="BY10" s="34"/>
      <c r="BZ10" s="34"/>
      <c r="CA10" s="34"/>
      <c r="CB10" s="35" t="s">
        <v>11</v>
      </c>
      <c r="CC10" s="34" t="s">
        <v>12</v>
      </c>
      <c r="CD10" s="34"/>
      <c r="CE10" s="34"/>
      <c r="CF10" s="38" t="s">
        <v>13</v>
      </c>
      <c r="CG10" s="32" t="s">
        <v>7</v>
      </c>
      <c r="CH10" s="33"/>
      <c r="CI10" s="33"/>
      <c r="CJ10" s="33"/>
      <c r="CK10" s="34"/>
      <c r="CL10" s="34" t="s">
        <v>8</v>
      </c>
      <c r="CM10" s="34"/>
      <c r="CN10" s="34"/>
      <c r="CO10" s="34" t="s">
        <v>9</v>
      </c>
      <c r="CP10" s="34" t="s">
        <v>10</v>
      </c>
      <c r="CQ10" s="34"/>
      <c r="CR10" s="34"/>
      <c r="CS10" s="34"/>
      <c r="CT10" s="35" t="s">
        <v>11</v>
      </c>
      <c r="CU10" s="34" t="s">
        <v>12</v>
      </c>
      <c r="CV10" s="34"/>
      <c r="CW10" s="34"/>
      <c r="CX10" s="38" t="s">
        <v>13</v>
      </c>
      <c r="CY10" s="32" t="s">
        <v>7</v>
      </c>
      <c r="CZ10" s="33"/>
      <c r="DA10" s="33"/>
      <c r="DB10" s="33"/>
      <c r="DC10" s="34"/>
      <c r="DD10" s="34" t="s">
        <v>8</v>
      </c>
      <c r="DE10" s="34"/>
      <c r="DF10" s="34"/>
      <c r="DG10" s="34" t="s">
        <v>9</v>
      </c>
      <c r="DH10" s="34" t="s">
        <v>10</v>
      </c>
      <c r="DI10" s="34"/>
      <c r="DJ10" s="34"/>
      <c r="DK10" s="34"/>
      <c r="DL10" s="35" t="s">
        <v>11</v>
      </c>
      <c r="DM10" s="34" t="s">
        <v>12</v>
      </c>
      <c r="DN10" s="34"/>
      <c r="DO10" s="34"/>
      <c r="DP10" s="38" t="s">
        <v>13</v>
      </c>
      <c r="DQ10" s="32" t="s">
        <v>7</v>
      </c>
      <c r="DR10" s="33"/>
      <c r="DS10" s="33"/>
      <c r="DT10" s="33"/>
      <c r="DU10" s="34"/>
      <c r="DV10" s="34" t="s">
        <v>8</v>
      </c>
      <c r="DW10" s="34"/>
      <c r="DX10" s="34"/>
      <c r="DY10" s="34" t="s">
        <v>9</v>
      </c>
      <c r="DZ10" s="34" t="s">
        <v>10</v>
      </c>
      <c r="EA10" s="34"/>
      <c r="EB10" s="34"/>
      <c r="EC10" s="34"/>
      <c r="ED10" s="35" t="s">
        <v>11</v>
      </c>
      <c r="EE10" s="34" t="s">
        <v>12</v>
      </c>
      <c r="EF10" s="34"/>
      <c r="EG10" s="34"/>
      <c r="EH10" s="38" t="s">
        <v>13</v>
      </c>
      <c r="EI10" s="32" t="s">
        <v>7</v>
      </c>
      <c r="EJ10" s="33"/>
      <c r="EK10" s="33"/>
      <c r="EL10" s="33"/>
      <c r="EM10" s="34"/>
      <c r="EN10" s="34" t="s">
        <v>8</v>
      </c>
      <c r="EO10" s="34"/>
      <c r="EP10" s="34"/>
      <c r="EQ10" s="34" t="s">
        <v>9</v>
      </c>
      <c r="ER10" s="34" t="s">
        <v>10</v>
      </c>
      <c r="ES10" s="34"/>
      <c r="ET10" s="34"/>
      <c r="EU10" s="34"/>
      <c r="EV10" s="35" t="s">
        <v>11</v>
      </c>
      <c r="EW10" s="34" t="s">
        <v>12</v>
      </c>
      <c r="EX10" s="34"/>
      <c r="EY10" s="34"/>
      <c r="EZ10" s="38" t="s">
        <v>13</v>
      </c>
    </row>
    <row r="11" spans="1:156">
      <c r="A11" s="14"/>
      <c r="B11" s="28"/>
      <c r="C11" s="29"/>
      <c r="D11" s="29"/>
      <c r="E11" s="29"/>
      <c r="F11" s="30"/>
      <c r="G11" s="31"/>
      <c r="H11" s="32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9"/>
      <c r="V11" s="34"/>
      <c r="W11" s="34"/>
      <c r="X11" s="34"/>
      <c r="Y11" s="34"/>
      <c r="Z11" s="34"/>
      <c r="AA11" s="34"/>
      <c r="AB11" s="34"/>
      <c r="AC11" s="40"/>
      <c r="AD11" s="41"/>
      <c r="AE11" s="32"/>
      <c r="AF11" s="33"/>
      <c r="AG11" s="33"/>
      <c r="AH11" s="33"/>
      <c r="AI11" s="34"/>
      <c r="AJ11" s="34"/>
      <c r="AK11" s="34"/>
      <c r="AL11" s="34"/>
      <c r="AM11" s="34"/>
      <c r="AN11" s="34"/>
      <c r="AO11" s="34"/>
      <c r="AP11" s="34"/>
      <c r="AQ11" s="34"/>
      <c r="AR11" s="39"/>
      <c r="AS11" s="34"/>
      <c r="AT11" s="34"/>
      <c r="AU11" s="34"/>
      <c r="AV11" s="38"/>
      <c r="AW11" s="32"/>
      <c r="AX11" s="33"/>
      <c r="AY11" s="33"/>
      <c r="AZ11" s="33"/>
      <c r="BA11" s="34"/>
      <c r="BB11" s="34"/>
      <c r="BC11" s="34"/>
      <c r="BD11" s="34"/>
      <c r="BE11" s="34"/>
      <c r="BF11" s="34"/>
      <c r="BG11" s="34"/>
      <c r="BH11" s="34"/>
      <c r="BI11" s="34"/>
      <c r="BJ11" s="39"/>
      <c r="BK11" s="34"/>
      <c r="BL11" s="34"/>
      <c r="BM11" s="34"/>
      <c r="BN11" s="38"/>
      <c r="BO11" s="32"/>
      <c r="BP11" s="33"/>
      <c r="BQ11" s="33"/>
      <c r="BR11" s="33"/>
      <c r="BS11" s="34"/>
      <c r="BT11" s="34"/>
      <c r="BU11" s="34"/>
      <c r="BV11" s="34"/>
      <c r="BW11" s="34"/>
      <c r="BX11" s="34"/>
      <c r="BY11" s="34"/>
      <c r="BZ11" s="34"/>
      <c r="CA11" s="34"/>
      <c r="CB11" s="39"/>
      <c r="CC11" s="34"/>
      <c r="CD11" s="34"/>
      <c r="CE11" s="34"/>
      <c r="CF11" s="38"/>
      <c r="CG11" s="32"/>
      <c r="CH11" s="33"/>
      <c r="CI11" s="33"/>
      <c r="CJ11" s="33"/>
      <c r="CK11" s="34"/>
      <c r="CL11" s="34"/>
      <c r="CM11" s="34"/>
      <c r="CN11" s="34"/>
      <c r="CO11" s="34"/>
      <c r="CP11" s="34"/>
      <c r="CQ11" s="34"/>
      <c r="CR11" s="34"/>
      <c r="CS11" s="34"/>
      <c r="CT11" s="39"/>
      <c r="CU11" s="34"/>
      <c r="CV11" s="34"/>
      <c r="CW11" s="34"/>
      <c r="CX11" s="38"/>
      <c r="CY11" s="32"/>
      <c r="CZ11" s="33"/>
      <c r="DA11" s="33"/>
      <c r="DB11" s="33"/>
      <c r="DC11" s="34"/>
      <c r="DD11" s="34"/>
      <c r="DE11" s="34"/>
      <c r="DF11" s="34"/>
      <c r="DG11" s="34"/>
      <c r="DH11" s="34"/>
      <c r="DI11" s="34"/>
      <c r="DJ11" s="34"/>
      <c r="DK11" s="34"/>
      <c r="DL11" s="39"/>
      <c r="DM11" s="34"/>
      <c r="DN11" s="34"/>
      <c r="DO11" s="34"/>
      <c r="DP11" s="38"/>
      <c r="DQ11" s="32"/>
      <c r="DR11" s="33"/>
      <c r="DS11" s="33"/>
      <c r="DT11" s="33"/>
      <c r="DU11" s="34"/>
      <c r="DV11" s="34"/>
      <c r="DW11" s="34"/>
      <c r="DX11" s="34"/>
      <c r="DY11" s="34"/>
      <c r="DZ11" s="34"/>
      <c r="EA11" s="34"/>
      <c r="EB11" s="34"/>
      <c r="EC11" s="34"/>
      <c r="ED11" s="39"/>
      <c r="EE11" s="34"/>
      <c r="EF11" s="34"/>
      <c r="EG11" s="34"/>
      <c r="EH11" s="38"/>
      <c r="EI11" s="32"/>
      <c r="EJ11" s="33"/>
      <c r="EK11" s="33"/>
      <c r="EL11" s="33"/>
      <c r="EM11" s="34"/>
      <c r="EN11" s="34"/>
      <c r="EO11" s="34"/>
      <c r="EP11" s="34"/>
      <c r="EQ11" s="34"/>
      <c r="ER11" s="34"/>
      <c r="ES11" s="34"/>
      <c r="ET11" s="34"/>
      <c r="EU11" s="34"/>
      <c r="EV11" s="39"/>
      <c r="EW11" s="34"/>
      <c r="EX11" s="34"/>
      <c r="EY11" s="34"/>
      <c r="EZ11" s="38"/>
    </row>
    <row r="12" spans="1:156">
      <c r="A12" s="14"/>
      <c r="B12" s="28"/>
      <c r="C12" s="29"/>
      <c r="D12" s="29"/>
      <c r="E12" s="29"/>
      <c r="F12" s="30"/>
      <c r="G12" s="31"/>
      <c r="H12" s="32"/>
      <c r="I12" s="33"/>
      <c r="J12" s="33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42"/>
      <c r="V12" s="34"/>
      <c r="W12" s="34"/>
      <c r="X12" s="34"/>
      <c r="Y12" s="34"/>
      <c r="Z12" s="34"/>
      <c r="AA12" s="34"/>
      <c r="AB12" s="34"/>
      <c r="AC12" s="43"/>
      <c r="AD12" s="44"/>
      <c r="AE12" s="32"/>
      <c r="AF12" s="33"/>
      <c r="AG12" s="33"/>
      <c r="AH12" s="33"/>
      <c r="AI12" s="34"/>
      <c r="AJ12" s="34"/>
      <c r="AK12" s="34"/>
      <c r="AL12" s="34"/>
      <c r="AM12" s="34"/>
      <c r="AN12" s="34"/>
      <c r="AO12" s="34"/>
      <c r="AP12" s="34"/>
      <c r="AQ12" s="34"/>
      <c r="AR12" s="42"/>
      <c r="AS12" s="34"/>
      <c r="AT12" s="34"/>
      <c r="AU12" s="34"/>
      <c r="AV12" s="38"/>
      <c r="AW12" s="32"/>
      <c r="AX12" s="33"/>
      <c r="AY12" s="33"/>
      <c r="AZ12" s="33"/>
      <c r="BA12" s="34"/>
      <c r="BB12" s="34"/>
      <c r="BC12" s="34"/>
      <c r="BD12" s="34"/>
      <c r="BE12" s="34"/>
      <c r="BF12" s="34"/>
      <c r="BG12" s="34"/>
      <c r="BH12" s="34"/>
      <c r="BI12" s="34"/>
      <c r="BJ12" s="42"/>
      <c r="BK12" s="34"/>
      <c r="BL12" s="34"/>
      <c r="BM12" s="34"/>
      <c r="BN12" s="38"/>
      <c r="BO12" s="32"/>
      <c r="BP12" s="33"/>
      <c r="BQ12" s="33"/>
      <c r="BR12" s="33"/>
      <c r="BS12" s="34"/>
      <c r="BT12" s="34"/>
      <c r="BU12" s="34"/>
      <c r="BV12" s="34"/>
      <c r="BW12" s="34"/>
      <c r="BX12" s="34"/>
      <c r="BY12" s="34"/>
      <c r="BZ12" s="34"/>
      <c r="CA12" s="34"/>
      <c r="CB12" s="42"/>
      <c r="CC12" s="34"/>
      <c r="CD12" s="34"/>
      <c r="CE12" s="34"/>
      <c r="CF12" s="38"/>
      <c r="CG12" s="32"/>
      <c r="CH12" s="33"/>
      <c r="CI12" s="33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42"/>
      <c r="CU12" s="34"/>
      <c r="CV12" s="34"/>
      <c r="CW12" s="34"/>
      <c r="CX12" s="38"/>
      <c r="CY12" s="32"/>
      <c r="CZ12" s="33"/>
      <c r="DA12" s="33"/>
      <c r="DB12" s="33"/>
      <c r="DC12" s="34"/>
      <c r="DD12" s="34"/>
      <c r="DE12" s="34"/>
      <c r="DF12" s="34"/>
      <c r="DG12" s="34"/>
      <c r="DH12" s="34"/>
      <c r="DI12" s="34"/>
      <c r="DJ12" s="34"/>
      <c r="DK12" s="34"/>
      <c r="DL12" s="42"/>
      <c r="DM12" s="34"/>
      <c r="DN12" s="34"/>
      <c r="DO12" s="34"/>
      <c r="DP12" s="38"/>
      <c r="DQ12" s="32"/>
      <c r="DR12" s="33"/>
      <c r="DS12" s="33"/>
      <c r="DT12" s="33"/>
      <c r="DU12" s="34"/>
      <c r="DV12" s="34"/>
      <c r="DW12" s="34"/>
      <c r="DX12" s="34"/>
      <c r="DY12" s="34"/>
      <c r="DZ12" s="34"/>
      <c r="EA12" s="34"/>
      <c r="EB12" s="34"/>
      <c r="EC12" s="34"/>
      <c r="ED12" s="42"/>
      <c r="EE12" s="34"/>
      <c r="EF12" s="34"/>
      <c r="EG12" s="34"/>
      <c r="EH12" s="38"/>
      <c r="EI12" s="32"/>
      <c r="EJ12" s="33"/>
      <c r="EK12" s="33"/>
      <c r="EL12" s="33"/>
      <c r="EM12" s="34"/>
      <c r="EN12" s="34"/>
      <c r="EO12" s="34"/>
      <c r="EP12" s="34"/>
      <c r="EQ12" s="34"/>
      <c r="ER12" s="34"/>
      <c r="ES12" s="34"/>
      <c r="ET12" s="34"/>
      <c r="EU12" s="34"/>
      <c r="EV12" s="42"/>
      <c r="EW12" s="34"/>
      <c r="EX12" s="34"/>
      <c r="EY12" s="34"/>
      <c r="EZ12" s="38"/>
    </row>
    <row r="13" spans="1:156">
      <c r="A13" s="14"/>
      <c r="B13" s="28"/>
      <c r="C13" s="29"/>
      <c r="D13" s="29"/>
      <c r="E13" s="29"/>
      <c r="F13" s="30"/>
      <c r="G13" s="31"/>
      <c r="H13" s="45" t="s">
        <v>16</v>
      </c>
      <c r="I13" s="46"/>
      <c r="J13" s="36" t="s">
        <v>17</v>
      </c>
      <c r="K13" s="46"/>
      <c r="L13" s="35" t="str">
        <f>SIS062_D_Paslaugaproduk1</f>
        <v xml:space="preserve">... paslauga (produktas) </v>
      </c>
      <c r="M13" s="39" t="s">
        <v>18</v>
      </c>
      <c r="N13" s="39" t="s">
        <v>19</v>
      </c>
      <c r="O13" s="39" t="str">
        <f>SIS062_D_Paslaugaproduk2</f>
        <v xml:space="preserve">... paslauga (produktas) </v>
      </c>
      <c r="P13" s="35" t="str">
        <f>SIS062_D_Paslaugaproduk3</f>
        <v xml:space="preserve">... paslauga (produktas) </v>
      </c>
      <c r="Q13" s="39" t="s">
        <v>20</v>
      </c>
      <c r="R13" s="35" t="s">
        <v>21</v>
      </c>
      <c r="S13" s="35" t="s">
        <v>22</v>
      </c>
      <c r="T13" s="39" t="str">
        <f>SIS062_D_Paslaugaproduk4</f>
        <v xml:space="preserve">... paslauga (produktas) </v>
      </c>
      <c r="U13" s="34" t="str">
        <f>SIS062_D_Paslaugaproduk5</f>
        <v xml:space="preserve">... paslauga (produktas) </v>
      </c>
      <c r="V13" s="39" t="s">
        <v>23</v>
      </c>
      <c r="W13" s="39" t="s">
        <v>24</v>
      </c>
      <c r="X13" s="39" t="str">
        <f>SIS062_D_Paslaugaproduk6</f>
        <v xml:space="preserve">... paslauga (produktas) </v>
      </c>
      <c r="Y13" s="39" t="str">
        <f>SIS062_D_Paslaugaproduk7</f>
        <v xml:space="preserve">... paslauga (produktas) </v>
      </c>
      <c r="Z13" s="39" t="s">
        <v>25</v>
      </c>
      <c r="AA13" s="39" t="s">
        <v>26</v>
      </c>
      <c r="AB13" s="39" t="str">
        <f>SIS062_D_Paslaugaproduk8</f>
        <v xml:space="preserve">... paslauga (produktas) </v>
      </c>
      <c r="AC13" s="39" t="s">
        <v>25</v>
      </c>
      <c r="AD13" s="47" t="str">
        <f>SIS062_D_Paslaugaproduk9</f>
        <v xml:space="preserve">... paslauga (produktas) </v>
      </c>
      <c r="AE13" s="45" t="s">
        <v>16</v>
      </c>
      <c r="AF13" s="46"/>
      <c r="AG13" s="36" t="s">
        <v>17</v>
      </c>
      <c r="AH13" s="46"/>
      <c r="AI13" s="35" t="str">
        <f>SIS062_D_Paslaugaproduk10</f>
        <v xml:space="preserve">... paslauga (produktas) </v>
      </c>
      <c r="AJ13" s="39" t="s">
        <v>18</v>
      </c>
      <c r="AK13" s="39" t="s">
        <v>19</v>
      </c>
      <c r="AL13" s="39" t="str">
        <f>SIS062_D_Paslaugaproduk11</f>
        <v xml:space="preserve">... paslauga (produktas) </v>
      </c>
      <c r="AM13" s="35" t="str">
        <f>SIS062_D_Paslaugaproduk12</f>
        <v xml:space="preserve">... paslauga (produktas) </v>
      </c>
      <c r="AN13" s="39" t="s">
        <v>20</v>
      </c>
      <c r="AO13" s="35" t="s">
        <v>21</v>
      </c>
      <c r="AP13" s="35" t="s">
        <v>22</v>
      </c>
      <c r="AQ13" s="39" t="str">
        <f>SIS062_D_Paslaugaproduk13</f>
        <v xml:space="preserve">... paslauga (produktas) </v>
      </c>
      <c r="AR13" s="34" t="str">
        <f>SIS062_D_Paslaugaproduk14</f>
        <v xml:space="preserve">... paslauga (produktas) </v>
      </c>
      <c r="AS13" s="39" t="s">
        <v>23</v>
      </c>
      <c r="AT13" s="39" t="s">
        <v>24</v>
      </c>
      <c r="AU13" s="39" t="str">
        <f>SIS062_D_Paslaugaproduk15</f>
        <v xml:space="preserve">... paslauga (produktas) </v>
      </c>
      <c r="AV13" s="47" t="str">
        <f>SIS062_D_Paslaugaproduk16</f>
        <v xml:space="preserve">... paslauga (produktas) </v>
      </c>
      <c r="AW13" s="45" t="s">
        <v>16</v>
      </c>
      <c r="AX13" s="46"/>
      <c r="AY13" s="36" t="s">
        <v>17</v>
      </c>
      <c r="AZ13" s="46"/>
      <c r="BA13" s="35" t="str">
        <f>SIS062_D_Paslaugaproduk17</f>
        <v xml:space="preserve">... paslauga (produktas) </v>
      </c>
      <c r="BB13" s="39" t="s">
        <v>18</v>
      </c>
      <c r="BC13" s="39" t="s">
        <v>19</v>
      </c>
      <c r="BD13" s="39" t="str">
        <f>SIS062_D_Paslaugaproduk18</f>
        <v xml:space="preserve">... paslauga (produktas) </v>
      </c>
      <c r="BE13" s="35" t="str">
        <f>SIS062_D_Paslaugaproduk19</f>
        <v xml:space="preserve">... paslauga (produktas) </v>
      </c>
      <c r="BF13" s="39" t="s">
        <v>20</v>
      </c>
      <c r="BG13" s="35" t="s">
        <v>21</v>
      </c>
      <c r="BH13" s="35" t="s">
        <v>22</v>
      </c>
      <c r="BI13" s="39" t="str">
        <f>SIS062_D_Paslaugaproduk20</f>
        <v xml:space="preserve">... paslauga (produktas) </v>
      </c>
      <c r="BJ13" s="34" t="str">
        <f>SIS062_D_Paslaugaproduk21</f>
        <v xml:space="preserve">... paslauga (produktas) </v>
      </c>
      <c r="BK13" s="39" t="s">
        <v>23</v>
      </c>
      <c r="BL13" s="39" t="s">
        <v>24</v>
      </c>
      <c r="BM13" s="39" t="str">
        <f>SIS062_D_Paslaugaproduk22</f>
        <v xml:space="preserve">... paslauga (produktas) </v>
      </c>
      <c r="BN13" s="47" t="str">
        <f>SIS062_D_Paslaugaproduk23</f>
        <v xml:space="preserve">... paslauga (produktas) </v>
      </c>
      <c r="BO13" s="45" t="s">
        <v>16</v>
      </c>
      <c r="BP13" s="46"/>
      <c r="BQ13" s="36" t="s">
        <v>17</v>
      </c>
      <c r="BR13" s="46"/>
      <c r="BS13" s="35" t="str">
        <f>SIS062_D_Paslaugaproduk24</f>
        <v xml:space="preserve">... paslauga (produktas) </v>
      </c>
      <c r="BT13" s="39" t="s">
        <v>18</v>
      </c>
      <c r="BU13" s="39" t="s">
        <v>19</v>
      </c>
      <c r="BV13" s="39" t="str">
        <f>SIS062_D_Paslaugaproduk25</f>
        <v xml:space="preserve">... paslauga (produktas) </v>
      </c>
      <c r="BW13" s="35" t="str">
        <f>SIS062_D_Paslaugaproduk26</f>
        <v xml:space="preserve">... paslauga (produktas) </v>
      </c>
      <c r="BX13" s="39" t="s">
        <v>20</v>
      </c>
      <c r="BY13" s="35" t="s">
        <v>21</v>
      </c>
      <c r="BZ13" s="35" t="s">
        <v>22</v>
      </c>
      <c r="CA13" s="39" t="str">
        <f>SIS062_D_Paslaugaproduk27</f>
        <v xml:space="preserve">... paslauga (produktas) </v>
      </c>
      <c r="CB13" s="34" t="str">
        <f>SIS062_D_Paslaugaproduk28</f>
        <v xml:space="preserve">... paslauga (produktas) </v>
      </c>
      <c r="CC13" s="39" t="s">
        <v>23</v>
      </c>
      <c r="CD13" s="39" t="s">
        <v>24</v>
      </c>
      <c r="CE13" s="39" t="str">
        <f>SIS062_D_Paslaugaproduk29</f>
        <v xml:space="preserve">... paslauga (produktas) </v>
      </c>
      <c r="CF13" s="47" t="str">
        <f>SIS062_D_Paslaugaproduk30</f>
        <v xml:space="preserve">... paslauga (produktas) </v>
      </c>
      <c r="CG13" s="45" t="s">
        <v>16</v>
      </c>
      <c r="CH13" s="46"/>
      <c r="CI13" s="36" t="s">
        <v>17</v>
      </c>
      <c r="CJ13" s="46"/>
      <c r="CK13" s="35" t="str">
        <f>SIS062_D_Paslaugaproduk31</f>
        <v xml:space="preserve">... paslauga (produktas) </v>
      </c>
      <c r="CL13" s="39" t="s">
        <v>18</v>
      </c>
      <c r="CM13" s="39" t="s">
        <v>19</v>
      </c>
      <c r="CN13" s="39" t="str">
        <f>SIS062_D_Paslaugaproduk32</f>
        <v xml:space="preserve">... paslauga (produktas) </v>
      </c>
      <c r="CO13" s="35" t="str">
        <f>SIS062_D_Paslaugaproduk33</f>
        <v xml:space="preserve">... paslauga (produktas) </v>
      </c>
      <c r="CP13" s="39" t="s">
        <v>20</v>
      </c>
      <c r="CQ13" s="35" t="s">
        <v>21</v>
      </c>
      <c r="CR13" s="35" t="s">
        <v>22</v>
      </c>
      <c r="CS13" s="39" t="str">
        <f>SIS062_D_Paslaugaproduk34</f>
        <v xml:space="preserve">... paslauga (produktas) </v>
      </c>
      <c r="CT13" s="34" t="str">
        <f>SIS062_D_Paslaugaproduk35</f>
        <v xml:space="preserve">... paslauga (produktas) </v>
      </c>
      <c r="CU13" s="39" t="s">
        <v>23</v>
      </c>
      <c r="CV13" s="39" t="s">
        <v>24</v>
      </c>
      <c r="CW13" s="39" t="str">
        <f>SIS062_D_Paslaugaproduk36</f>
        <v xml:space="preserve">... paslauga (produktas) </v>
      </c>
      <c r="CX13" s="47" t="str">
        <f>SIS062_D_Paslaugaproduk37</f>
        <v xml:space="preserve">... paslauga (produktas) </v>
      </c>
      <c r="CY13" s="45" t="s">
        <v>16</v>
      </c>
      <c r="CZ13" s="46"/>
      <c r="DA13" s="36" t="s">
        <v>17</v>
      </c>
      <c r="DB13" s="46"/>
      <c r="DC13" s="35" t="str">
        <f>SIS062_D_Paslaugaproduk38</f>
        <v xml:space="preserve">... paslauga (produktas) </v>
      </c>
      <c r="DD13" s="39" t="s">
        <v>18</v>
      </c>
      <c r="DE13" s="39" t="s">
        <v>19</v>
      </c>
      <c r="DF13" s="39" t="str">
        <f>SIS062_D_Paslaugaproduk39</f>
        <v xml:space="preserve">... paslauga (produktas) </v>
      </c>
      <c r="DG13" s="35" t="str">
        <f>SIS062_D_Paslaugaproduk40</f>
        <v xml:space="preserve">... paslauga (produktas) </v>
      </c>
      <c r="DH13" s="39" t="s">
        <v>20</v>
      </c>
      <c r="DI13" s="35" t="s">
        <v>21</v>
      </c>
      <c r="DJ13" s="35" t="s">
        <v>22</v>
      </c>
      <c r="DK13" s="39" t="str">
        <f>SIS062_D_Paslaugaproduk41</f>
        <v xml:space="preserve">... paslauga (produktas) </v>
      </c>
      <c r="DL13" s="34" t="str">
        <f>SIS062_D_Paslaugaproduk42</f>
        <v xml:space="preserve">... paslauga (produktas) </v>
      </c>
      <c r="DM13" s="39" t="s">
        <v>23</v>
      </c>
      <c r="DN13" s="39" t="s">
        <v>24</v>
      </c>
      <c r="DO13" s="39" t="str">
        <f>SIS062_D_Paslaugaproduk43</f>
        <v xml:space="preserve">... paslauga (produktas) </v>
      </c>
      <c r="DP13" s="47" t="str">
        <f>SIS062_D_Paslaugaproduk44</f>
        <v xml:space="preserve">... paslauga (produktas) </v>
      </c>
      <c r="DQ13" s="45" t="s">
        <v>16</v>
      </c>
      <c r="DR13" s="46"/>
      <c r="DS13" s="36" t="s">
        <v>17</v>
      </c>
      <c r="DT13" s="46"/>
      <c r="DU13" s="35" t="str">
        <f>SIS062_D_Paslaugaproduk45</f>
        <v xml:space="preserve">... paslauga (produktas) </v>
      </c>
      <c r="DV13" s="39" t="s">
        <v>18</v>
      </c>
      <c r="DW13" s="39" t="s">
        <v>19</v>
      </c>
      <c r="DX13" s="39" t="str">
        <f>SIS062_D_Paslaugaproduk46</f>
        <v xml:space="preserve">... paslauga (produktas) </v>
      </c>
      <c r="DY13" s="35" t="str">
        <f>SIS062_D_Paslaugaproduk47</f>
        <v xml:space="preserve">... paslauga (produktas) </v>
      </c>
      <c r="DZ13" s="39" t="s">
        <v>20</v>
      </c>
      <c r="EA13" s="35" t="s">
        <v>21</v>
      </c>
      <c r="EB13" s="35" t="s">
        <v>22</v>
      </c>
      <c r="EC13" s="39" t="str">
        <f>SIS062_D_Paslaugaproduk48</f>
        <v xml:space="preserve">... paslauga (produktas) </v>
      </c>
      <c r="ED13" s="34" t="str">
        <f>SIS062_D_Paslaugaproduk49</f>
        <v xml:space="preserve">... paslauga (produktas) </v>
      </c>
      <c r="EE13" s="39" t="s">
        <v>23</v>
      </c>
      <c r="EF13" s="39" t="s">
        <v>24</v>
      </c>
      <c r="EG13" s="39" t="str">
        <f>SIS062_D_Paslaugaproduk50</f>
        <v xml:space="preserve">... paslauga (produktas) </v>
      </c>
      <c r="EH13" s="47" t="str">
        <f>SIS062_D_Paslaugaproduk51</f>
        <v xml:space="preserve">... paslauga (produktas) </v>
      </c>
      <c r="EI13" s="45" t="s">
        <v>16</v>
      </c>
      <c r="EJ13" s="46"/>
      <c r="EK13" s="36" t="s">
        <v>17</v>
      </c>
      <c r="EL13" s="46"/>
      <c r="EM13" s="35" t="str">
        <f>SIS062_D_Paslaugaproduk52</f>
        <v xml:space="preserve">... paslauga (produktas) </v>
      </c>
      <c r="EN13" s="39" t="s">
        <v>18</v>
      </c>
      <c r="EO13" s="39" t="s">
        <v>19</v>
      </c>
      <c r="EP13" s="39" t="str">
        <f>SIS062_D_Paslaugaproduk53</f>
        <v xml:space="preserve">... paslauga (produktas) </v>
      </c>
      <c r="EQ13" s="35" t="str">
        <f>SIS062_D_Paslaugaproduk54</f>
        <v xml:space="preserve">... paslauga (produktas) </v>
      </c>
      <c r="ER13" s="39" t="s">
        <v>20</v>
      </c>
      <c r="ES13" s="35" t="s">
        <v>21</v>
      </c>
      <c r="ET13" s="35" t="s">
        <v>22</v>
      </c>
      <c r="EU13" s="39" t="str">
        <f>SIS062_D_Paslaugaproduk55</f>
        <v xml:space="preserve">... paslauga (produktas) </v>
      </c>
      <c r="EV13" s="34" t="str">
        <f>SIS062_D_Paslaugaproduk56</f>
        <v xml:space="preserve">... paslauga (produktas) </v>
      </c>
      <c r="EW13" s="39" t="s">
        <v>23</v>
      </c>
      <c r="EX13" s="39" t="s">
        <v>24</v>
      </c>
      <c r="EY13" s="39" t="str">
        <f>SIS062_D_Paslaugaproduk57</f>
        <v xml:space="preserve">... paslauga (produktas) </v>
      </c>
      <c r="EZ13" s="47" t="str">
        <f>SIS062_D_Paslaugaproduk58</f>
        <v xml:space="preserve">... paslauga (produktas) </v>
      </c>
    </row>
    <row r="14" spans="1:156">
      <c r="A14" s="14"/>
      <c r="B14" s="28"/>
      <c r="C14" s="29"/>
      <c r="D14" s="29"/>
      <c r="E14" s="29"/>
      <c r="F14" s="30"/>
      <c r="G14" s="31"/>
      <c r="H14" s="48"/>
      <c r="I14" s="49"/>
      <c r="J14" s="43"/>
      <c r="K14" s="49"/>
      <c r="L14" s="39"/>
      <c r="M14" s="39"/>
      <c r="N14" s="39"/>
      <c r="O14" s="39"/>
      <c r="P14" s="39"/>
      <c r="Q14" s="39"/>
      <c r="R14" s="39"/>
      <c r="S14" s="39"/>
      <c r="T14" s="39"/>
      <c r="U14" s="35"/>
      <c r="V14" s="39"/>
      <c r="W14" s="39"/>
      <c r="X14" s="39"/>
      <c r="Y14" s="39"/>
      <c r="Z14" s="39"/>
      <c r="AA14" s="39"/>
      <c r="AB14" s="39"/>
      <c r="AC14" s="39"/>
      <c r="AD14" s="47"/>
      <c r="AE14" s="48"/>
      <c r="AF14" s="49"/>
      <c r="AG14" s="43"/>
      <c r="AH14" s="49"/>
      <c r="AI14" s="39"/>
      <c r="AJ14" s="39"/>
      <c r="AK14" s="39"/>
      <c r="AL14" s="39"/>
      <c r="AM14" s="39"/>
      <c r="AN14" s="39"/>
      <c r="AO14" s="39"/>
      <c r="AP14" s="39"/>
      <c r="AQ14" s="39"/>
      <c r="AR14" s="35"/>
      <c r="AS14" s="39"/>
      <c r="AT14" s="39"/>
      <c r="AU14" s="39"/>
      <c r="AV14" s="47"/>
      <c r="AW14" s="48"/>
      <c r="AX14" s="49"/>
      <c r="AY14" s="43"/>
      <c r="AZ14" s="49"/>
      <c r="BA14" s="39"/>
      <c r="BB14" s="39"/>
      <c r="BC14" s="39"/>
      <c r="BD14" s="39"/>
      <c r="BE14" s="39"/>
      <c r="BF14" s="39"/>
      <c r="BG14" s="39"/>
      <c r="BH14" s="39"/>
      <c r="BI14" s="39"/>
      <c r="BJ14" s="35"/>
      <c r="BK14" s="39"/>
      <c r="BL14" s="39"/>
      <c r="BM14" s="39"/>
      <c r="BN14" s="47"/>
      <c r="BO14" s="48"/>
      <c r="BP14" s="49"/>
      <c r="BQ14" s="43"/>
      <c r="BR14" s="49"/>
      <c r="BS14" s="39"/>
      <c r="BT14" s="39"/>
      <c r="BU14" s="39"/>
      <c r="BV14" s="39"/>
      <c r="BW14" s="39"/>
      <c r="BX14" s="39"/>
      <c r="BY14" s="39"/>
      <c r="BZ14" s="39"/>
      <c r="CA14" s="39"/>
      <c r="CB14" s="35"/>
      <c r="CC14" s="39"/>
      <c r="CD14" s="39"/>
      <c r="CE14" s="39"/>
      <c r="CF14" s="47"/>
      <c r="CG14" s="48"/>
      <c r="CH14" s="49"/>
      <c r="CI14" s="43"/>
      <c r="CJ14" s="49"/>
      <c r="CK14" s="39"/>
      <c r="CL14" s="39"/>
      <c r="CM14" s="39"/>
      <c r="CN14" s="39"/>
      <c r="CO14" s="39"/>
      <c r="CP14" s="39"/>
      <c r="CQ14" s="39"/>
      <c r="CR14" s="39"/>
      <c r="CS14" s="39"/>
      <c r="CT14" s="35"/>
      <c r="CU14" s="39"/>
      <c r="CV14" s="39"/>
      <c r="CW14" s="39"/>
      <c r="CX14" s="47"/>
      <c r="CY14" s="48"/>
      <c r="CZ14" s="49"/>
      <c r="DA14" s="43"/>
      <c r="DB14" s="49"/>
      <c r="DC14" s="39"/>
      <c r="DD14" s="39"/>
      <c r="DE14" s="39"/>
      <c r="DF14" s="39"/>
      <c r="DG14" s="39"/>
      <c r="DH14" s="39"/>
      <c r="DI14" s="39"/>
      <c r="DJ14" s="39"/>
      <c r="DK14" s="39"/>
      <c r="DL14" s="35"/>
      <c r="DM14" s="39"/>
      <c r="DN14" s="39"/>
      <c r="DO14" s="39"/>
      <c r="DP14" s="47"/>
      <c r="DQ14" s="48"/>
      <c r="DR14" s="49"/>
      <c r="DS14" s="43"/>
      <c r="DT14" s="49"/>
      <c r="DU14" s="39"/>
      <c r="DV14" s="39"/>
      <c r="DW14" s="39"/>
      <c r="DX14" s="39"/>
      <c r="DY14" s="39"/>
      <c r="DZ14" s="39"/>
      <c r="EA14" s="39"/>
      <c r="EB14" s="39"/>
      <c r="EC14" s="39"/>
      <c r="ED14" s="35"/>
      <c r="EE14" s="39"/>
      <c r="EF14" s="39"/>
      <c r="EG14" s="39"/>
      <c r="EH14" s="47"/>
      <c r="EI14" s="48"/>
      <c r="EJ14" s="49"/>
      <c r="EK14" s="43"/>
      <c r="EL14" s="49"/>
      <c r="EM14" s="39"/>
      <c r="EN14" s="39"/>
      <c r="EO14" s="39"/>
      <c r="EP14" s="39"/>
      <c r="EQ14" s="39"/>
      <c r="ER14" s="39"/>
      <c r="ES14" s="39"/>
      <c r="ET14" s="39"/>
      <c r="EU14" s="39"/>
      <c r="EV14" s="35"/>
      <c r="EW14" s="39"/>
      <c r="EX14" s="39"/>
      <c r="EY14" s="39"/>
      <c r="EZ14" s="47"/>
    </row>
    <row r="15" spans="1:156">
      <c r="A15" s="14"/>
      <c r="B15" s="28"/>
      <c r="C15" s="29"/>
      <c r="D15" s="29"/>
      <c r="E15" s="29"/>
      <c r="F15" s="30"/>
      <c r="G15" s="31"/>
      <c r="H15" s="50" t="s">
        <v>27</v>
      </c>
      <c r="I15" s="36" t="s">
        <v>28</v>
      </c>
      <c r="J15" s="35" t="s">
        <v>27</v>
      </c>
      <c r="K15" s="35" t="s">
        <v>28</v>
      </c>
      <c r="L15" s="39"/>
      <c r="M15" s="39"/>
      <c r="N15" s="39"/>
      <c r="O15" s="39"/>
      <c r="P15" s="39"/>
      <c r="Q15" s="39"/>
      <c r="R15" s="39"/>
      <c r="S15" s="39"/>
      <c r="T15" s="39"/>
      <c r="U15" s="35"/>
      <c r="V15" s="39"/>
      <c r="W15" s="39"/>
      <c r="X15" s="39"/>
      <c r="Y15" s="39"/>
      <c r="Z15" s="39"/>
      <c r="AA15" s="39"/>
      <c r="AB15" s="39"/>
      <c r="AC15" s="39"/>
      <c r="AD15" s="47"/>
      <c r="AE15" s="50" t="s">
        <v>27</v>
      </c>
      <c r="AF15" s="36" t="s">
        <v>28</v>
      </c>
      <c r="AG15" s="35" t="s">
        <v>27</v>
      </c>
      <c r="AH15" s="35" t="s">
        <v>28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5"/>
      <c r="AS15" s="39"/>
      <c r="AT15" s="39"/>
      <c r="AU15" s="39"/>
      <c r="AV15" s="47"/>
      <c r="AW15" s="50" t="s">
        <v>27</v>
      </c>
      <c r="AX15" s="36" t="s">
        <v>28</v>
      </c>
      <c r="AY15" s="35" t="s">
        <v>27</v>
      </c>
      <c r="AZ15" s="35" t="s">
        <v>28</v>
      </c>
      <c r="BA15" s="39"/>
      <c r="BB15" s="39"/>
      <c r="BC15" s="39"/>
      <c r="BD15" s="39"/>
      <c r="BE15" s="39"/>
      <c r="BF15" s="39"/>
      <c r="BG15" s="39"/>
      <c r="BH15" s="39"/>
      <c r="BI15" s="39"/>
      <c r="BJ15" s="35"/>
      <c r="BK15" s="39"/>
      <c r="BL15" s="39"/>
      <c r="BM15" s="39"/>
      <c r="BN15" s="47"/>
      <c r="BO15" s="50" t="s">
        <v>27</v>
      </c>
      <c r="BP15" s="36" t="s">
        <v>28</v>
      </c>
      <c r="BQ15" s="35" t="s">
        <v>27</v>
      </c>
      <c r="BR15" s="35" t="s">
        <v>28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5"/>
      <c r="CC15" s="39"/>
      <c r="CD15" s="39"/>
      <c r="CE15" s="39"/>
      <c r="CF15" s="47"/>
      <c r="CG15" s="50" t="s">
        <v>27</v>
      </c>
      <c r="CH15" s="36" t="s">
        <v>28</v>
      </c>
      <c r="CI15" s="35" t="s">
        <v>27</v>
      </c>
      <c r="CJ15" s="35" t="s">
        <v>28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5"/>
      <c r="CU15" s="39"/>
      <c r="CV15" s="39"/>
      <c r="CW15" s="39"/>
      <c r="CX15" s="47"/>
      <c r="CY15" s="50" t="s">
        <v>27</v>
      </c>
      <c r="CZ15" s="36" t="s">
        <v>28</v>
      </c>
      <c r="DA15" s="35" t="s">
        <v>27</v>
      </c>
      <c r="DB15" s="35" t="s">
        <v>28</v>
      </c>
      <c r="DC15" s="39"/>
      <c r="DD15" s="39"/>
      <c r="DE15" s="39"/>
      <c r="DF15" s="39"/>
      <c r="DG15" s="39"/>
      <c r="DH15" s="39"/>
      <c r="DI15" s="39"/>
      <c r="DJ15" s="39"/>
      <c r="DK15" s="39"/>
      <c r="DL15" s="35"/>
      <c r="DM15" s="39"/>
      <c r="DN15" s="39"/>
      <c r="DO15" s="39"/>
      <c r="DP15" s="47"/>
      <c r="DQ15" s="50" t="s">
        <v>27</v>
      </c>
      <c r="DR15" s="36" t="s">
        <v>28</v>
      </c>
      <c r="DS15" s="35" t="s">
        <v>27</v>
      </c>
      <c r="DT15" s="35" t="s">
        <v>28</v>
      </c>
      <c r="DU15" s="39"/>
      <c r="DV15" s="39"/>
      <c r="DW15" s="39"/>
      <c r="DX15" s="39"/>
      <c r="DY15" s="39"/>
      <c r="DZ15" s="39"/>
      <c r="EA15" s="39"/>
      <c r="EB15" s="39"/>
      <c r="EC15" s="39"/>
      <c r="ED15" s="35"/>
      <c r="EE15" s="39"/>
      <c r="EF15" s="39"/>
      <c r="EG15" s="39"/>
      <c r="EH15" s="47"/>
      <c r="EI15" s="50" t="s">
        <v>27</v>
      </c>
      <c r="EJ15" s="36" t="s">
        <v>28</v>
      </c>
      <c r="EK15" s="35" t="s">
        <v>27</v>
      </c>
      <c r="EL15" s="35" t="s">
        <v>28</v>
      </c>
      <c r="EM15" s="39"/>
      <c r="EN15" s="39"/>
      <c r="EO15" s="39"/>
      <c r="EP15" s="39"/>
      <c r="EQ15" s="39"/>
      <c r="ER15" s="39"/>
      <c r="ES15" s="39"/>
      <c r="ET15" s="39"/>
      <c r="EU15" s="39"/>
      <c r="EV15" s="35"/>
      <c r="EW15" s="39"/>
      <c r="EX15" s="39"/>
      <c r="EY15" s="39"/>
      <c r="EZ15" s="47"/>
    </row>
    <row r="16" spans="1:156">
      <c r="A16" s="14"/>
      <c r="B16" s="28"/>
      <c r="C16" s="29"/>
      <c r="D16" s="29"/>
      <c r="E16" s="29"/>
      <c r="F16" s="30"/>
      <c r="G16" s="31"/>
      <c r="H16" s="51"/>
      <c r="I16" s="4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5"/>
      <c r="V16" s="39"/>
      <c r="W16" s="39"/>
      <c r="X16" s="39"/>
      <c r="Y16" s="39"/>
      <c r="Z16" s="39"/>
      <c r="AA16" s="39"/>
      <c r="AB16" s="39"/>
      <c r="AC16" s="39"/>
      <c r="AD16" s="47"/>
      <c r="AE16" s="51"/>
      <c r="AF16" s="40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5"/>
      <c r="AS16" s="39"/>
      <c r="AT16" s="39"/>
      <c r="AU16" s="39"/>
      <c r="AV16" s="47"/>
      <c r="AW16" s="51"/>
      <c r="AX16" s="40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5"/>
      <c r="BK16" s="39"/>
      <c r="BL16" s="39"/>
      <c r="BM16" s="39"/>
      <c r="BN16" s="47"/>
      <c r="BO16" s="51"/>
      <c r="BP16" s="40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5"/>
      <c r="CC16" s="39"/>
      <c r="CD16" s="39"/>
      <c r="CE16" s="39"/>
      <c r="CF16" s="47"/>
      <c r="CG16" s="51"/>
      <c r="CH16" s="40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5"/>
      <c r="CU16" s="39"/>
      <c r="CV16" s="39"/>
      <c r="CW16" s="39"/>
      <c r="CX16" s="47"/>
      <c r="CY16" s="51"/>
      <c r="CZ16" s="40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5"/>
      <c r="DM16" s="39"/>
      <c r="DN16" s="39"/>
      <c r="DO16" s="39"/>
      <c r="DP16" s="47"/>
      <c r="DQ16" s="51"/>
      <c r="DR16" s="40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5"/>
      <c r="EE16" s="39"/>
      <c r="EF16" s="39"/>
      <c r="EG16" s="39"/>
      <c r="EH16" s="47"/>
      <c r="EI16" s="51"/>
      <c r="EJ16" s="40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5"/>
      <c r="EW16" s="39"/>
      <c r="EX16" s="39"/>
      <c r="EY16" s="39"/>
      <c r="EZ16" s="47"/>
    </row>
    <row r="17" spans="1:156" ht="15.75" thickBot="1">
      <c r="A17" s="52"/>
      <c r="B17" s="53"/>
      <c r="C17" s="54"/>
      <c r="D17" s="54"/>
      <c r="E17" s="54"/>
      <c r="F17" s="55"/>
      <c r="G17" s="56"/>
      <c r="H17" s="57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59"/>
      <c r="W17" s="59"/>
      <c r="X17" s="59"/>
      <c r="Y17" s="59"/>
      <c r="Z17" s="59"/>
      <c r="AA17" s="59"/>
      <c r="AB17" s="59"/>
      <c r="AC17" s="59"/>
      <c r="AD17" s="61"/>
      <c r="AE17" s="57"/>
      <c r="AF17" s="58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59"/>
      <c r="AT17" s="59"/>
      <c r="AU17" s="59"/>
      <c r="AV17" s="61"/>
      <c r="AW17" s="57"/>
      <c r="AX17" s="58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60"/>
      <c r="BK17" s="59"/>
      <c r="BL17" s="59"/>
      <c r="BM17" s="59"/>
      <c r="BN17" s="61"/>
      <c r="BO17" s="57"/>
      <c r="BP17" s="58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60"/>
      <c r="CC17" s="59"/>
      <c r="CD17" s="59"/>
      <c r="CE17" s="59"/>
      <c r="CF17" s="61"/>
      <c r="CG17" s="57"/>
      <c r="CH17" s="58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60"/>
      <c r="CU17" s="59"/>
      <c r="CV17" s="59"/>
      <c r="CW17" s="59"/>
      <c r="CX17" s="61"/>
      <c r="CY17" s="57"/>
      <c r="CZ17" s="58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60"/>
      <c r="DM17" s="59"/>
      <c r="DN17" s="59"/>
      <c r="DO17" s="59"/>
      <c r="DP17" s="61"/>
      <c r="DQ17" s="57"/>
      <c r="DR17" s="58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60"/>
      <c r="EE17" s="59"/>
      <c r="EF17" s="59"/>
      <c r="EG17" s="59"/>
      <c r="EH17" s="61"/>
      <c r="EI17" s="57"/>
      <c r="EJ17" s="58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60"/>
      <c r="EW17" s="59"/>
      <c r="EX17" s="59"/>
      <c r="EY17" s="59"/>
      <c r="EZ17" s="61"/>
    </row>
    <row r="18" spans="1:156">
      <c r="A18" s="11"/>
      <c r="B18" s="62" t="s">
        <v>29</v>
      </c>
      <c r="C18" s="63" t="s">
        <v>30</v>
      </c>
      <c r="D18" s="64"/>
      <c r="E18" s="64"/>
      <c r="F18" s="65"/>
      <c r="G18" s="66">
        <f t="shared" ref="G18:BR18" si="0">SUM(G19:G20)</f>
        <v>0</v>
      </c>
      <c r="H18" s="67">
        <f t="shared" si="0"/>
        <v>0</v>
      </c>
      <c r="I18" s="68">
        <f t="shared" si="0"/>
        <v>0</v>
      </c>
      <c r="J18" s="68">
        <f t="shared" si="0"/>
        <v>0</v>
      </c>
      <c r="K18" s="68">
        <f t="shared" si="0"/>
        <v>0</v>
      </c>
      <c r="L18" s="69">
        <f t="shared" si="0"/>
        <v>0</v>
      </c>
      <c r="M18" s="69">
        <f t="shared" si="0"/>
        <v>0</v>
      </c>
      <c r="N18" s="69">
        <f t="shared" si="0"/>
        <v>0</v>
      </c>
      <c r="O18" s="69">
        <f t="shared" si="0"/>
        <v>0</v>
      </c>
      <c r="P18" s="69">
        <f t="shared" si="0"/>
        <v>0</v>
      </c>
      <c r="Q18" s="69">
        <f t="shared" si="0"/>
        <v>0</v>
      </c>
      <c r="R18" s="69">
        <f t="shared" si="0"/>
        <v>0</v>
      </c>
      <c r="S18" s="69">
        <f t="shared" si="0"/>
        <v>0</v>
      </c>
      <c r="T18" s="69">
        <f t="shared" si="0"/>
        <v>0</v>
      </c>
      <c r="U18" s="69">
        <f t="shared" si="0"/>
        <v>0</v>
      </c>
      <c r="V18" s="69">
        <f t="shared" si="0"/>
        <v>0</v>
      </c>
      <c r="W18" s="69">
        <f t="shared" si="0"/>
        <v>0</v>
      </c>
      <c r="X18" s="69">
        <f t="shared" si="0"/>
        <v>0</v>
      </c>
      <c r="Y18" s="69">
        <f t="shared" si="0"/>
        <v>0</v>
      </c>
      <c r="Z18" s="69">
        <f t="shared" si="0"/>
        <v>0</v>
      </c>
      <c r="AA18" s="69">
        <f t="shared" si="0"/>
        <v>0</v>
      </c>
      <c r="AB18" s="69">
        <f t="shared" si="0"/>
        <v>0</v>
      </c>
      <c r="AC18" s="69">
        <f t="shared" si="0"/>
        <v>0</v>
      </c>
      <c r="AD18" s="69">
        <f t="shared" si="0"/>
        <v>0</v>
      </c>
      <c r="AE18" s="67">
        <f t="shared" si="0"/>
        <v>0</v>
      </c>
      <c r="AF18" s="68">
        <f t="shared" si="0"/>
        <v>0</v>
      </c>
      <c r="AG18" s="68">
        <f t="shared" si="0"/>
        <v>0</v>
      </c>
      <c r="AH18" s="68">
        <f t="shared" si="0"/>
        <v>0</v>
      </c>
      <c r="AI18" s="69">
        <f t="shared" si="0"/>
        <v>0</v>
      </c>
      <c r="AJ18" s="69">
        <f t="shared" si="0"/>
        <v>0</v>
      </c>
      <c r="AK18" s="69">
        <f t="shared" si="0"/>
        <v>0</v>
      </c>
      <c r="AL18" s="69">
        <f t="shared" si="0"/>
        <v>0</v>
      </c>
      <c r="AM18" s="69">
        <f t="shared" si="0"/>
        <v>0</v>
      </c>
      <c r="AN18" s="69">
        <f t="shared" si="0"/>
        <v>0</v>
      </c>
      <c r="AO18" s="69">
        <f t="shared" si="0"/>
        <v>0</v>
      </c>
      <c r="AP18" s="69">
        <f t="shared" si="0"/>
        <v>0</v>
      </c>
      <c r="AQ18" s="69">
        <f t="shared" si="0"/>
        <v>0</v>
      </c>
      <c r="AR18" s="69">
        <f t="shared" si="0"/>
        <v>0</v>
      </c>
      <c r="AS18" s="69">
        <f t="shared" si="0"/>
        <v>0</v>
      </c>
      <c r="AT18" s="69">
        <f t="shared" si="0"/>
        <v>0</v>
      </c>
      <c r="AU18" s="69">
        <f t="shared" si="0"/>
        <v>0</v>
      </c>
      <c r="AV18" s="70">
        <f t="shared" si="0"/>
        <v>0</v>
      </c>
      <c r="AW18" s="67">
        <f t="shared" si="0"/>
        <v>0</v>
      </c>
      <c r="AX18" s="68">
        <f t="shared" si="0"/>
        <v>0</v>
      </c>
      <c r="AY18" s="68">
        <f t="shared" si="0"/>
        <v>0</v>
      </c>
      <c r="AZ18" s="68">
        <f t="shared" si="0"/>
        <v>0</v>
      </c>
      <c r="BA18" s="69">
        <f t="shared" si="0"/>
        <v>0</v>
      </c>
      <c r="BB18" s="69">
        <f t="shared" si="0"/>
        <v>0</v>
      </c>
      <c r="BC18" s="69">
        <f t="shared" si="0"/>
        <v>0</v>
      </c>
      <c r="BD18" s="69">
        <f t="shared" si="0"/>
        <v>0</v>
      </c>
      <c r="BE18" s="69">
        <f t="shared" si="0"/>
        <v>0</v>
      </c>
      <c r="BF18" s="69">
        <f t="shared" si="0"/>
        <v>0</v>
      </c>
      <c r="BG18" s="69">
        <f t="shared" si="0"/>
        <v>0</v>
      </c>
      <c r="BH18" s="69">
        <f t="shared" si="0"/>
        <v>0</v>
      </c>
      <c r="BI18" s="69">
        <f t="shared" si="0"/>
        <v>0</v>
      </c>
      <c r="BJ18" s="69">
        <f t="shared" si="0"/>
        <v>0</v>
      </c>
      <c r="BK18" s="69">
        <f t="shared" si="0"/>
        <v>0</v>
      </c>
      <c r="BL18" s="69">
        <f t="shared" si="0"/>
        <v>0</v>
      </c>
      <c r="BM18" s="69">
        <f t="shared" si="0"/>
        <v>0</v>
      </c>
      <c r="BN18" s="70">
        <f t="shared" si="0"/>
        <v>0</v>
      </c>
      <c r="BO18" s="67">
        <f t="shared" si="0"/>
        <v>0</v>
      </c>
      <c r="BP18" s="68">
        <f t="shared" si="0"/>
        <v>0</v>
      </c>
      <c r="BQ18" s="68">
        <f t="shared" si="0"/>
        <v>0</v>
      </c>
      <c r="BR18" s="68">
        <f t="shared" si="0"/>
        <v>0</v>
      </c>
      <c r="BS18" s="69">
        <f t="shared" ref="BS18:ED18" si="1">SUM(BS19:BS20)</f>
        <v>0</v>
      </c>
      <c r="BT18" s="69">
        <f t="shared" si="1"/>
        <v>0</v>
      </c>
      <c r="BU18" s="69">
        <f t="shared" si="1"/>
        <v>0</v>
      </c>
      <c r="BV18" s="69">
        <f t="shared" si="1"/>
        <v>0</v>
      </c>
      <c r="BW18" s="69">
        <f t="shared" si="1"/>
        <v>0</v>
      </c>
      <c r="BX18" s="69">
        <f t="shared" si="1"/>
        <v>0</v>
      </c>
      <c r="BY18" s="69">
        <f t="shared" si="1"/>
        <v>0</v>
      </c>
      <c r="BZ18" s="69">
        <f t="shared" si="1"/>
        <v>0</v>
      </c>
      <c r="CA18" s="69">
        <f t="shared" si="1"/>
        <v>0</v>
      </c>
      <c r="CB18" s="69">
        <f t="shared" si="1"/>
        <v>0</v>
      </c>
      <c r="CC18" s="69">
        <f t="shared" si="1"/>
        <v>0</v>
      </c>
      <c r="CD18" s="69">
        <f t="shared" si="1"/>
        <v>0</v>
      </c>
      <c r="CE18" s="69">
        <f t="shared" si="1"/>
        <v>0</v>
      </c>
      <c r="CF18" s="70">
        <f t="shared" si="1"/>
        <v>0</v>
      </c>
      <c r="CG18" s="67">
        <f t="shared" si="1"/>
        <v>0</v>
      </c>
      <c r="CH18" s="68">
        <f t="shared" si="1"/>
        <v>0</v>
      </c>
      <c r="CI18" s="68">
        <f t="shared" si="1"/>
        <v>0</v>
      </c>
      <c r="CJ18" s="68">
        <f t="shared" si="1"/>
        <v>0</v>
      </c>
      <c r="CK18" s="69">
        <f t="shared" si="1"/>
        <v>0</v>
      </c>
      <c r="CL18" s="69">
        <f t="shared" si="1"/>
        <v>0</v>
      </c>
      <c r="CM18" s="69">
        <f t="shared" si="1"/>
        <v>0</v>
      </c>
      <c r="CN18" s="69">
        <f t="shared" si="1"/>
        <v>0</v>
      </c>
      <c r="CO18" s="69">
        <f t="shared" si="1"/>
        <v>0</v>
      </c>
      <c r="CP18" s="69">
        <f t="shared" si="1"/>
        <v>0</v>
      </c>
      <c r="CQ18" s="69">
        <f t="shared" si="1"/>
        <v>0</v>
      </c>
      <c r="CR18" s="69">
        <f t="shared" si="1"/>
        <v>0</v>
      </c>
      <c r="CS18" s="69">
        <f t="shared" si="1"/>
        <v>0</v>
      </c>
      <c r="CT18" s="69">
        <f t="shared" si="1"/>
        <v>0</v>
      </c>
      <c r="CU18" s="69">
        <f t="shared" si="1"/>
        <v>0</v>
      </c>
      <c r="CV18" s="69">
        <f t="shared" si="1"/>
        <v>0</v>
      </c>
      <c r="CW18" s="69">
        <f t="shared" si="1"/>
        <v>0</v>
      </c>
      <c r="CX18" s="70">
        <f t="shared" si="1"/>
        <v>0</v>
      </c>
      <c r="CY18" s="67">
        <f t="shared" si="1"/>
        <v>0</v>
      </c>
      <c r="CZ18" s="68">
        <f t="shared" si="1"/>
        <v>0</v>
      </c>
      <c r="DA18" s="68">
        <f t="shared" si="1"/>
        <v>0</v>
      </c>
      <c r="DB18" s="68">
        <f t="shared" si="1"/>
        <v>0</v>
      </c>
      <c r="DC18" s="69">
        <f t="shared" si="1"/>
        <v>0</v>
      </c>
      <c r="DD18" s="69">
        <f t="shared" si="1"/>
        <v>0</v>
      </c>
      <c r="DE18" s="69">
        <f t="shared" si="1"/>
        <v>0</v>
      </c>
      <c r="DF18" s="69">
        <f t="shared" si="1"/>
        <v>0</v>
      </c>
      <c r="DG18" s="69">
        <f t="shared" si="1"/>
        <v>0</v>
      </c>
      <c r="DH18" s="69">
        <f t="shared" si="1"/>
        <v>0</v>
      </c>
      <c r="DI18" s="69">
        <f t="shared" si="1"/>
        <v>0</v>
      </c>
      <c r="DJ18" s="69">
        <f t="shared" si="1"/>
        <v>0</v>
      </c>
      <c r="DK18" s="69">
        <f t="shared" si="1"/>
        <v>0</v>
      </c>
      <c r="DL18" s="69">
        <f t="shared" si="1"/>
        <v>0</v>
      </c>
      <c r="DM18" s="69">
        <f t="shared" si="1"/>
        <v>0</v>
      </c>
      <c r="DN18" s="69">
        <f t="shared" si="1"/>
        <v>0</v>
      </c>
      <c r="DO18" s="69">
        <f t="shared" si="1"/>
        <v>0</v>
      </c>
      <c r="DP18" s="70">
        <f t="shared" si="1"/>
        <v>0</v>
      </c>
      <c r="DQ18" s="67">
        <f t="shared" si="1"/>
        <v>0</v>
      </c>
      <c r="DR18" s="68">
        <f t="shared" si="1"/>
        <v>0</v>
      </c>
      <c r="DS18" s="68">
        <f t="shared" si="1"/>
        <v>0</v>
      </c>
      <c r="DT18" s="68">
        <f t="shared" si="1"/>
        <v>0</v>
      </c>
      <c r="DU18" s="69">
        <f t="shared" si="1"/>
        <v>0</v>
      </c>
      <c r="DV18" s="69">
        <f t="shared" si="1"/>
        <v>0</v>
      </c>
      <c r="DW18" s="69">
        <f t="shared" si="1"/>
        <v>0</v>
      </c>
      <c r="DX18" s="69">
        <f t="shared" si="1"/>
        <v>0</v>
      </c>
      <c r="DY18" s="69">
        <f t="shared" si="1"/>
        <v>0</v>
      </c>
      <c r="DZ18" s="69">
        <f t="shared" si="1"/>
        <v>0</v>
      </c>
      <c r="EA18" s="69">
        <f t="shared" si="1"/>
        <v>0</v>
      </c>
      <c r="EB18" s="69">
        <f t="shared" si="1"/>
        <v>0</v>
      </c>
      <c r="EC18" s="69">
        <f t="shared" si="1"/>
        <v>0</v>
      </c>
      <c r="ED18" s="69">
        <f t="shared" si="1"/>
        <v>0</v>
      </c>
      <c r="EE18" s="69">
        <f t="shared" ref="EE18:EZ18" si="2">SUM(EE19:EE20)</f>
        <v>0</v>
      </c>
      <c r="EF18" s="69">
        <f t="shared" si="2"/>
        <v>0</v>
      </c>
      <c r="EG18" s="69">
        <f t="shared" si="2"/>
        <v>0</v>
      </c>
      <c r="EH18" s="70">
        <f t="shared" si="2"/>
        <v>0</v>
      </c>
      <c r="EI18" s="67">
        <f t="shared" si="2"/>
        <v>0</v>
      </c>
      <c r="EJ18" s="68">
        <f t="shared" si="2"/>
        <v>0</v>
      </c>
      <c r="EK18" s="68">
        <f t="shared" si="2"/>
        <v>0</v>
      </c>
      <c r="EL18" s="68">
        <f t="shared" si="2"/>
        <v>0</v>
      </c>
      <c r="EM18" s="69">
        <f t="shared" si="2"/>
        <v>0</v>
      </c>
      <c r="EN18" s="69">
        <f t="shared" si="2"/>
        <v>0</v>
      </c>
      <c r="EO18" s="69">
        <f t="shared" si="2"/>
        <v>0</v>
      </c>
      <c r="EP18" s="69">
        <f t="shared" si="2"/>
        <v>0</v>
      </c>
      <c r="EQ18" s="69">
        <f t="shared" si="2"/>
        <v>0</v>
      </c>
      <c r="ER18" s="69">
        <f t="shared" si="2"/>
        <v>0</v>
      </c>
      <c r="ES18" s="69">
        <f t="shared" si="2"/>
        <v>0</v>
      </c>
      <c r="ET18" s="69">
        <f t="shared" si="2"/>
        <v>0</v>
      </c>
      <c r="EU18" s="69">
        <f t="shared" si="2"/>
        <v>0</v>
      </c>
      <c r="EV18" s="69">
        <f t="shared" si="2"/>
        <v>0</v>
      </c>
      <c r="EW18" s="69">
        <f t="shared" si="2"/>
        <v>0</v>
      </c>
      <c r="EX18" s="69">
        <f t="shared" si="2"/>
        <v>0</v>
      </c>
      <c r="EY18" s="69">
        <f t="shared" si="2"/>
        <v>0</v>
      </c>
      <c r="EZ18" s="70">
        <f t="shared" si="2"/>
        <v>0</v>
      </c>
    </row>
    <row r="19" spans="1:156">
      <c r="A19" s="11"/>
      <c r="B19" s="71" t="s">
        <v>31</v>
      </c>
      <c r="C19" s="72" t="s">
        <v>32</v>
      </c>
      <c r="D19" s="73"/>
      <c r="E19" s="73"/>
      <c r="F19" s="74"/>
      <c r="G19" s="75">
        <f>SUM(H19:AD19)</f>
        <v>0</v>
      </c>
      <c r="H19" s="76">
        <f t="shared" ref="H19:W20" si="3">SUM(AE19,AW19,BO19,CG19,CY19,DQ19,EI19)</f>
        <v>0</v>
      </c>
      <c r="I19" s="77">
        <f t="shared" si="3"/>
        <v>0</v>
      </c>
      <c r="J19" s="77">
        <f t="shared" si="3"/>
        <v>0</v>
      </c>
      <c r="K19" s="77">
        <f t="shared" si="3"/>
        <v>0</v>
      </c>
      <c r="L19" s="78">
        <f t="shared" si="3"/>
        <v>0</v>
      </c>
      <c r="M19" s="78">
        <f t="shared" si="3"/>
        <v>0</v>
      </c>
      <c r="N19" s="78">
        <f t="shared" si="3"/>
        <v>0</v>
      </c>
      <c r="O19" s="78">
        <f t="shared" si="3"/>
        <v>0</v>
      </c>
      <c r="P19" s="78">
        <f t="shared" si="3"/>
        <v>0</v>
      </c>
      <c r="Q19" s="78">
        <f t="shared" si="3"/>
        <v>0</v>
      </c>
      <c r="R19" s="78">
        <f t="shared" si="3"/>
        <v>0</v>
      </c>
      <c r="S19" s="78">
        <f t="shared" si="3"/>
        <v>0</v>
      </c>
      <c r="T19" s="78">
        <f t="shared" si="3"/>
        <v>0</v>
      </c>
      <c r="U19" s="78">
        <f t="shared" si="3"/>
        <v>0</v>
      </c>
      <c r="V19" s="78">
        <f t="shared" si="3"/>
        <v>0</v>
      </c>
      <c r="W19" s="78">
        <f t="shared" si="3"/>
        <v>0</v>
      </c>
      <c r="X19" s="78">
        <f t="shared" ref="R19:Y20" si="4">SUM(AU19,BM19,CE19,CW19,DO19,EG19,EY19)</f>
        <v>0</v>
      </c>
      <c r="Y19" s="78">
        <f t="shared" si="4"/>
        <v>0</v>
      </c>
      <c r="Z19" s="79">
        <f>SIS064_F_Silumosisigiji2Elektrosenergi5</f>
        <v>0</v>
      </c>
      <c r="AA19" s="79">
        <f>SUM(SIS062_F_Silumosisigiji2Geriamojovande1,SIS063_F_Silumosisigiji2Geriamojovande1,SIS065_F_Silumosisigiji2Geriamojovande1)</f>
        <v>0</v>
      </c>
      <c r="AB19" s="79">
        <f>SUM(SIS062_F_Silumosisigiji2Paslaugaproduk8,SIS063_F_Silumosisigiji2Paslaugaproduk8,SIS065_F_Silumosisigiji2Paslaugaproduk8)</f>
        <v>0</v>
      </c>
      <c r="AC19" s="79">
        <f>SIS064_F_Silumosisigiji2Elektrosenergi6</f>
        <v>0</v>
      </c>
      <c r="AD19" s="79">
        <f>SUM(SIS062_F_Silumosisigiji2Paslaugaproduk9,SIS063_F_Silumosisigiji2Paslaugaproduk9,SIS065_F_Silumosisigiji2Paslaugaproduk9)</f>
        <v>0</v>
      </c>
      <c r="AE19" s="80">
        <v>0</v>
      </c>
      <c r="AF19" s="81">
        <v>0</v>
      </c>
      <c r="AG19" s="81">
        <v>0</v>
      </c>
      <c r="AH19" s="81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3">
        <v>0</v>
      </c>
      <c r="AW19" s="80"/>
      <c r="AX19" s="81"/>
      <c r="AY19" s="81"/>
      <c r="AZ19" s="81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3"/>
      <c r="BO19" s="80"/>
      <c r="BP19" s="81"/>
      <c r="BQ19" s="81"/>
      <c r="BR19" s="81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3"/>
      <c r="CG19" s="80"/>
      <c r="CH19" s="81"/>
      <c r="CI19" s="81"/>
      <c r="CJ19" s="81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3"/>
      <c r="CY19" s="80"/>
      <c r="CZ19" s="81"/>
      <c r="DA19" s="81"/>
      <c r="DB19" s="81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3"/>
      <c r="DQ19" s="80"/>
      <c r="DR19" s="81"/>
      <c r="DS19" s="81"/>
      <c r="DT19" s="81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3"/>
      <c r="EI19" s="80"/>
      <c r="EJ19" s="81"/>
      <c r="EK19" s="81"/>
      <c r="EL19" s="81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3"/>
    </row>
    <row r="20" spans="1:156">
      <c r="A20" s="11"/>
      <c r="B20" s="71" t="s">
        <v>33</v>
      </c>
      <c r="C20" s="72" t="str">
        <f>SIS055_D_Kitossanaudoss1</f>
        <v>Kitos sąnaudos, susijusios su šilumos įsigijimu (nurodyti)</v>
      </c>
      <c r="D20" s="73"/>
      <c r="E20" s="73"/>
      <c r="F20" s="74"/>
      <c r="G20" s="75">
        <f>SUM(H20:AD20)</f>
        <v>0</v>
      </c>
      <c r="H20" s="76">
        <f t="shared" si="3"/>
        <v>0</v>
      </c>
      <c r="I20" s="77">
        <f t="shared" si="3"/>
        <v>0</v>
      </c>
      <c r="J20" s="77">
        <f t="shared" si="3"/>
        <v>0</v>
      </c>
      <c r="K20" s="77">
        <f t="shared" si="3"/>
        <v>0</v>
      </c>
      <c r="L20" s="78">
        <f t="shared" si="3"/>
        <v>0</v>
      </c>
      <c r="M20" s="78">
        <f t="shared" si="3"/>
        <v>0</v>
      </c>
      <c r="N20" s="78">
        <f t="shared" si="3"/>
        <v>0</v>
      </c>
      <c r="O20" s="78">
        <f t="shared" si="3"/>
        <v>0</v>
      </c>
      <c r="P20" s="78">
        <f t="shared" si="3"/>
        <v>0</v>
      </c>
      <c r="Q20" s="78">
        <f t="shared" si="3"/>
        <v>0</v>
      </c>
      <c r="R20" s="78">
        <f t="shared" si="4"/>
        <v>0</v>
      </c>
      <c r="S20" s="78">
        <f t="shared" si="4"/>
        <v>0</v>
      </c>
      <c r="T20" s="78">
        <f t="shared" si="4"/>
        <v>0</v>
      </c>
      <c r="U20" s="78">
        <f t="shared" si="4"/>
        <v>0</v>
      </c>
      <c r="V20" s="78">
        <f t="shared" si="4"/>
        <v>0</v>
      </c>
      <c r="W20" s="78">
        <f t="shared" si="4"/>
        <v>0</v>
      </c>
      <c r="X20" s="78">
        <f t="shared" si="4"/>
        <v>0</v>
      </c>
      <c r="Y20" s="78">
        <f t="shared" si="4"/>
        <v>0</v>
      </c>
      <c r="Z20" s="79">
        <f>SIS064_F_Kitossanaudoss1Elektrosenergi5</f>
        <v>0</v>
      </c>
      <c r="AA20" s="79">
        <f>SUM(SIS062_F_Kitossanaudoss1Geriamojovande1,SIS063_F_Kitossanaudoss1Geriamojovande1,SIS065_F_Kitossanaudoss1Geriamojovande1)</f>
        <v>0</v>
      </c>
      <c r="AB20" s="79">
        <f>SUM(SIS062_F_Kitossanaudoss1Paslaugaproduk8,SIS063_F_Kitossanaudoss1Paslaugaproduk8,SIS065_F_Kitossanaudoss1Paslaugaproduk8)</f>
        <v>0</v>
      </c>
      <c r="AC20" s="79">
        <f>SIS064_F_Kitossanaudoss1Elektrosenergi6</f>
        <v>0</v>
      </c>
      <c r="AD20" s="79">
        <f>SUM(SIS062_F_Kitossanaudoss1Paslaugaproduk9,SIS063_F_Kitossanaudoss1Paslaugaproduk9,SIS065_F_Kitossanaudoss1Paslaugaproduk9)</f>
        <v>0</v>
      </c>
      <c r="AE20" s="80">
        <v>0</v>
      </c>
      <c r="AF20" s="81">
        <v>0</v>
      </c>
      <c r="AG20" s="81">
        <v>0</v>
      </c>
      <c r="AH20" s="81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3">
        <v>0</v>
      </c>
      <c r="AW20" s="80"/>
      <c r="AX20" s="81"/>
      <c r="AY20" s="81"/>
      <c r="AZ20" s="81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  <c r="BO20" s="80"/>
      <c r="BP20" s="81"/>
      <c r="BQ20" s="81"/>
      <c r="BR20" s="81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3"/>
      <c r="CG20" s="80"/>
      <c r="CH20" s="81"/>
      <c r="CI20" s="81"/>
      <c r="CJ20" s="81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3"/>
      <c r="CY20" s="80"/>
      <c r="CZ20" s="81"/>
      <c r="DA20" s="81"/>
      <c r="DB20" s="81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3"/>
      <c r="DQ20" s="80"/>
      <c r="DR20" s="81"/>
      <c r="DS20" s="81"/>
      <c r="DT20" s="81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3"/>
      <c r="EI20" s="80"/>
      <c r="EJ20" s="81"/>
      <c r="EK20" s="81"/>
      <c r="EL20" s="81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3"/>
    </row>
    <row r="21" spans="1:156">
      <c r="A21" s="11"/>
      <c r="B21" s="84" t="s">
        <v>34</v>
      </c>
      <c r="C21" s="85" t="s">
        <v>35</v>
      </c>
      <c r="D21" s="86"/>
      <c r="E21" s="86"/>
      <c r="F21" s="87"/>
      <c r="G21" s="75">
        <f t="shared" ref="G21:AD21" si="5">SUM(G22:G29)</f>
        <v>1404429.16</v>
      </c>
      <c r="H21" s="88">
        <f t="shared" si="5"/>
        <v>1404429.16</v>
      </c>
      <c r="I21" s="89">
        <f t="shared" si="5"/>
        <v>0</v>
      </c>
      <c r="J21" s="89">
        <f t="shared" si="5"/>
        <v>0</v>
      </c>
      <c r="K21" s="89">
        <f t="shared" si="5"/>
        <v>0</v>
      </c>
      <c r="L21" s="90">
        <f t="shared" si="5"/>
        <v>0</v>
      </c>
      <c r="M21" s="90">
        <f t="shared" si="5"/>
        <v>0</v>
      </c>
      <c r="N21" s="90">
        <f t="shared" si="5"/>
        <v>0</v>
      </c>
      <c r="O21" s="90">
        <f t="shared" si="5"/>
        <v>0</v>
      </c>
      <c r="P21" s="90">
        <f t="shared" si="5"/>
        <v>0</v>
      </c>
      <c r="Q21" s="90">
        <f t="shared" si="5"/>
        <v>0</v>
      </c>
      <c r="R21" s="90">
        <f t="shared" si="5"/>
        <v>0</v>
      </c>
      <c r="S21" s="90">
        <f t="shared" si="5"/>
        <v>0</v>
      </c>
      <c r="T21" s="90">
        <f t="shared" si="5"/>
        <v>0</v>
      </c>
      <c r="U21" s="90">
        <f t="shared" si="5"/>
        <v>0</v>
      </c>
      <c r="V21" s="90">
        <f t="shared" si="5"/>
        <v>0</v>
      </c>
      <c r="W21" s="90">
        <f t="shared" si="5"/>
        <v>0</v>
      </c>
      <c r="X21" s="90">
        <f t="shared" si="5"/>
        <v>0</v>
      </c>
      <c r="Y21" s="90">
        <f t="shared" si="5"/>
        <v>0</v>
      </c>
      <c r="Z21" s="90">
        <f t="shared" si="5"/>
        <v>0</v>
      </c>
      <c r="AA21" s="90">
        <f t="shared" si="5"/>
        <v>0</v>
      </c>
      <c r="AB21" s="90">
        <f t="shared" si="5"/>
        <v>0</v>
      </c>
      <c r="AC21" s="90">
        <f t="shared" si="5"/>
        <v>0</v>
      </c>
      <c r="AD21" s="90">
        <f t="shared" si="5"/>
        <v>0</v>
      </c>
      <c r="AE21" s="88">
        <f t="shared" ref="AE21:CP21" si="6">SUM(AE22:AE29)</f>
        <v>1404429.16</v>
      </c>
      <c r="AF21" s="89">
        <f t="shared" si="6"/>
        <v>0</v>
      </c>
      <c r="AG21" s="89">
        <f t="shared" si="6"/>
        <v>0</v>
      </c>
      <c r="AH21" s="89">
        <f t="shared" si="6"/>
        <v>0</v>
      </c>
      <c r="AI21" s="90">
        <f t="shared" si="6"/>
        <v>0</v>
      </c>
      <c r="AJ21" s="90">
        <f t="shared" si="6"/>
        <v>0</v>
      </c>
      <c r="AK21" s="90">
        <f t="shared" si="6"/>
        <v>0</v>
      </c>
      <c r="AL21" s="90">
        <f t="shared" si="6"/>
        <v>0</v>
      </c>
      <c r="AM21" s="90">
        <f t="shared" si="6"/>
        <v>0</v>
      </c>
      <c r="AN21" s="90">
        <f t="shared" si="6"/>
        <v>0</v>
      </c>
      <c r="AO21" s="90">
        <f t="shared" si="6"/>
        <v>0</v>
      </c>
      <c r="AP21" s="90">
        <f t="shared" si="6"/>
        <v>0</v>
      </c>
      <c r="AQ21" s="90">
        <f t="shared" si="6"/>
        <v>0</v>
      </c>
      <c r="AR21" s="90">
        <f t="shared" si="6"/>
        <v>0</v>
      </c>
      <c r="AS21" s="90">
        <f t="shared" si="6"/>
        <v>0</v>
      </c>
      <c r="AT21" s="90">
        <f t="shared" si="6"/>
        <v>0</v>
      </c>
      <c r="AU21" s="90">
        <f t="shared" si="6"/>
        <v>0</v>
      </c>
      <c r="AV21" s="91">
        <f t="shared" si="6"/>
        <v>0</v>
      </c>
      <c r="AW21" s="88">
        <f t="shared" si="6"/>
        <v>0</v>
      </c>
      <c r="AX21" s="89">
        <f t="shared" si="6"/>
        <v>0</v>
      </c>
      <c r="AY21" s="89">
        <f t="shared" si="6"/>
        <v>0</v>
      </c>
      <c r="AZ21" s="89">
        <f t="shared" si="6"/>
        <v>0</v>
      </c>
      <c r="BA21" s="90">
        <f t="shared" si="6"/>
        <v>0</v>
      </c>
      <c r="BB21" s="90">
        <f t="shared" si="6"/>
        <v>0</v>
      </c>
      <c r="BC21" s="90">
        <f t="shared" si="6"/>
        <v>0</v>
      </c>
      <c r="BD21" s="90">
        <f t="shared" si="6"/>
        <v>0</v>
      </c>
      <c r="BE21" s="90">
        <f t="shared" si="6"/>
        <v>0</v>
      </c>
      <c r="BF21" s="90">
        <f t="shared" si="6"/>
        <v>0</v>
      </c>
      <c r="BG21" s="90">
        <f t="shared" si="6"/>
        <v>0</v>
      </c>
      <c r="BH21" s="90">
        <f t="shared" si="6"/>
        <v>0</v>
      </c>
      <c r="BI21" s="90">
        <f t="shared" si="6"/>
        <v>0</v>
      </c>
      <c r="BJ21" s="90">
        <f t="shared" si="6"/>
        <v>0</v>
      </c>
      <c r="BK21" s="90">
        <f t="shared" si="6"/>
        <v>0</v>
      </c>
      <c r="BL21" s="90">
        <f t="shared" si="6"/>
        <v>0</v>
      </c>
      <c r="BM21" s="90">
        <f t="shared" si="6"/>
        <v>0</v>
      </c>
      <c r="BN21" s="91">
        <f t="shared" si="6"/>
        <v>0</v>
      </c>
      <c r="BO21" s="88">
        <f t="shared" si="6"/>
        <v>0</v>
      </c>
      <c r="BP21" s="89">
        <f t="shared" si="6"/>
        <v>0</v>
      </c>
      <c r="BQ21" s="89">
        <f t="shared" si="6"/>
        <v>0</v>
      </c>
      <c r="BR21" s="89">
        <f t="shared" si="6"/>
        <v>0</v>
      </c>
      <c r="BS21" s="90">
        <f t="shared" si="6"/>
        <v>0</v>
      </c>
      <c r="BT21" s="90">
        <f t="shared" si="6"/>
        <v>0</v>
      </c>
      <c r="BU21" s="90">
        <f t="shared" si="6"/>
        <v>0</v>
      </c>
      <c r="BV21" s="90">
        <f t="shared" si="6"/>
        <v>0</v>
      </c>
      <c r="BW21" s="90">
        <f t="shared" si="6"/>
        <v>0</v>
      </c>
      <c r="BX21" s="90">
        <f t="shared" si="6"/>
        <v>0</v>
      </c>
      <c r="BY21" s="90">
        <f t="shared" si="6"/>
        <v>0</v>
      </c>
      <c r="BZ21" s="90">
        <f t="shared" si="6"/>
        <v>0</v>
      </c>
      <c r="CA21" s="90">
        <f t="shared" si="6"/>
        <v>0</v>
      </c>
      <c r="CB21" s="90">
        <f t="shared" si="6"/>
        <v>0</v>
      </c>
      <c r="CC21" s="90">
        <f t="shared" si="6"/>
        <v>0</v>
      </c>
      <c r="CD21" s="90">
        <f t="shared" si="6"/>
        <v>0</v>
      </c>
      <c r="CE21" s="90">
        <f t="shared" si="6"/>
        <v>0</v>
      </c>
      <c r="CF21" s="91">
        <f t="shared" si="6"/>
        <v>0</v>
      </c>
      <c r="CG21" s="88">
        <f t="shared" si="6"/>
        <v>0</v>
      </c>
      <c r="CH21" s="89">
        <f t="shared" si="6"/>
        <v>0</v>
      </c>
      <c r="CI21" s="89">
        <f t="shared" si="6"/>
        <v>0</v>
      </c>
      <c r="CJ21" s="89">
        <f t="shared" si="6"/>
        <v>0</v>
      </c>
      <c r="CK21" s="90">
        <f t="shared" si="6"/>
        <v>0</v>
      </c>
      <c r="CL21" s="90">
        <f t="shared" si="6"/>
        <v>0</v>
      </c>
      <c r="CM21" s="90">
        <f t="shared" si="6"/>
        <v>0</v>
      </c>
      <c r="CN21" s="90">
        <f t="shared" si="6"/>
        <v>0</v>
      </c>
      <c r="CO21" s="90">
        <f t="shared" si="6"/>
        <v>0</v>
      </c>
      <c r="CP21" s="90">
        <f t="shared" si="6"/>
        <v>0</v>
      </c>
      <c r="CQ21" s="90">
        <f t="shared" ref="CQ21:EZ21" si="7">SUM(CQ22:CQ29)</f>
        <v>0</v>
      </c>
      <c r="CR21" s="90">
        <f t="shared" si="7"/>
        <v>0</v>
      </c>
      <c r="CS21" s="90">
        <f t="shared" si="7"/>
        <v>0</v>
      </c>
      <c r="CT21" s="90">
        <f t="shared" si="7"/>
        <v>0</v>
      </c>
      <c r="CU21" s="90">
        <f t="shared" si="7"/>
        <v>0</v>
      </c>
      <c r="CV21" s="90">
        <f t="shared" si="7"/>
        <v>0</v>
      </c>
      <c r="CW21" s="90">
        <f t="shared" si="7"/>
        <v>0</v>
      </c>
      <c r="CX21" s="91">
        <f t="shared" si="7"/>
        <v>0</v>
      </c>
      <c r="CY21" s="88">
        <f t="shared" si="7"/>
        <v>0</v>
      </c>
      <c r="CZ21" s="89">
        <f t="shared" si="7"/>
        <v>0</v>
      </c>
      <c r="DA21" s="89">
        <f t="shared" si="7"/>
        <v>0</v>
      </c>
      <c r="DB21" s="89">
        <f t="shared" si="7"/>
        <v>0</v>
      </c>
      <c r="DC21" s="90">
        <f t="shared" si="7"/>
        <v>0</v>
      </c>
      <c r="DD21" s="90">
        <f t="shared" si="7"/>
        <v>0</v>
      </c>
      <c r="DE21" s="90">
        <f t="shared" si="7"/>
        <v>0</v>
      </c>
      <c r="DF21" s="90">
        <f t="shared" si="7"/>
        <v>0</v>
      </c>
      <c r="DG21" s="90">
        <f t="shared" si="7"/>
        <v>0</v>
      </c>
      <c r="DH21" s="90">
        <f t="shared" si="7"/>
        <v>0</v>
      </c>
      <c r="DI21" s="90">
        <f t="shared" si="7"/>
        <v>0</v>
      </c>
      <c r="DJ21" s="90">
        <f t="shared" si="7"/>
        <v>0</v>
      </c>
      <c r="DK21" s="90">
        <f t="shared" si="7"/>
        <v>0</v>
      </c>
      <c r="DL21" s="90">
        <f t="shared" si="7"/>
        <v>0</v>
      </c>
      <c r="DM21" s="90">
        <f t="shared" si="7"/>
        <v>0</v>
      </c>
      <c r="DN21" s="90">
        <f t="shared" si="7"/>
        <v>0</v>
      </c>
      <c r="DO21" s="90">
        <f t="shared" si="7"/>
        <v>0</v>
      </c>
      <c r="DP21" s="91">
        <f t="shared" si="7"/>
        <v>0</v>
      </c>
      <c r="DQ21" s="88">
        <f t="shared" si="7"/>
        <v>0</v>
      </c>
      <c r="DR21" s="89">
        <f t="shared" si="7"/>
        <v>0</v>
      </c>
      <c r="DS21" s="89">
        <f t="shared" si="7"/>
        <v>0</v>
      </c>
      <c r="DT21" s="89">
        <f t="shared" si="7"/>
        <v>0</v>
      </c>
      <c r="DU21" s="90">
        <f t="shared" si="7"/>
        <v>0</v>
      </c>
      <c r="DV21" s="90">
        <f t="shared" si="7"/>
        <v>0</v>
      </c>
      <c r="DW21" s="90">
        <f t="shared" si="7"/>
        <v>0</v>
      </c>
      <c r="DX21" s="90">
        <f t="shared" si="7"/>
        <v>0</v>
      </c>
      <c r="DY21" s="90">
        <f t="shared" si="7"/>
        <v>0</v>
      </c>
      <c r="DZ21" s="90">
        <f t="shared" si="7"/>
        <v>0</v>
      </c>
      <c r="EA21" s="90">
        <f t="shared" si="7"/>
        <v>0</v>
      </c>
      <c r="EB21" s="90">
        <f t="shared" si="7"/>
        <v>0</v>
      </c>
      <c r="EC21" s="90">
        <f t="shared" si="7"/>
        <v>0</v>
      </c>
      <c r="ED21" s="90">
        <f t="shared" si="7"/>
        <v>0</v>
      </c>
      <c r="EE21" s="90">
        <f t="shared" si="7"/>
        <v>0</v>
      </c>
      <c r="EF21" s="90">
        <f t="shared" si="7"/>
        <v>0</v>
      </c>
      <c r="EG21" s="90">
        <f t="shared" si="7"/>
        <v>0</v>
      </c>
      <c r="EH21" s="91">
        <f t="shared" si="7"/>
        <v>0</v>
      </c>
      <c r="EI21" s="88">
        <f t="shared" si="7"/>
        <v>0</v>
      </c>
      <c r="EJ21" s="89">
        <f t="shared" si="7"/>
        <v>0</v>
      </c>
      <c r="EK21" s="89">
        <f t="shared" si="7"/>
        <v>0</v>
      </c>
      <c r="EL21" s="89">
        <f t="shared" si="7"/>
        <v>0</v>
      </c>
      <c r="EM21" s="90">
        <f t="shared" si="7"/>
        <v>0</v>
      </c>
      <c r="EN21" s="90">
        <f t="shared" si="7"/>
        <v>0</v>
      </c>
      <c r="EO21" s="90">
        <f t="shared" si="7"/>
        <v>0</v>
      </c>
      <c r="EP21" s="90">
        <f t="shared" si="7"/>
        <v>0</v>
      </c>
      <c r="EQ21" s="90">
        <f t="shared" si="7"/>
        <v>0</v>
      </c>
      <c r="ER21" s="90">
        <f t="shared" si="7"/>
        <v>0</v>
      </c>
      <c r="ES21" s="90">
        <f t="shared" si="7"/>
        <v>0</v>
      </c>
      <c r="ET21" s="90">
        <f t="shared" si="7"/>
        <v>0</v>
      </c>
      <c r="EU21" s="90">
        <f t="shared" si="7"/>
        <v>0</v>
      </c>
      <c r="EV21" s="90">
        <f t="shared" si="7"/>
        <v>0</v>
      </c>
      <c r="EW21" s="90">
        <f t="shared" si="7"/>
        <v>0</v>
      </c>
      <c r="EX21" s="90">
        <f t="shared" si="7"/>
        <v>0</v>
      </c>
      <c r="EY21" s="90">
        <f t="shared" si="7"/>
        <v>0</v>
      </c>
      <c r="EZ21" s="91">
        <f t="shared" si="7"/>
        <v>0</v>
      </c>
    </row>
    <row r="22" spans="1:156">
      <c r="A22" s="11"/>
      <c r="B22" s="71" t="s">
        <v>36</v>
      </c>
      <c r="C22" s="92" t="s">
        <v>37</v>
      </c>
      <c r="D22" s="93"/>
      <c r="E22" s="93"/>
      <c r="F22" s="94"/>
      <c r="G22" s="75">
        <f t="shared" ref="G22:G29" si="8">SUM(H22:AD22)</f>
        <v>0</v>
      </c>
      <c r="H22" s="76">
        <f t="shared" ref="H22:W29" si="9">SUM(AE22,AW22,BO22,CG22,CY22,DQ22,EI22)</f>
        <v>0</v>
      </c>
      <c r="I22" s="77">
        <f t="shared" si="9"/>
        <v>0</v>
      </c>
      <c r="J22" s="77">
        <f t="shared" si="9"/>
        <v>0</v>
      </c>
      <c r="K22" s="77">
        <f t="shared" si="9"/>
        <v>0</v>
      </c>
      <c r="L22" s="78">
        <f t="shared" si="9"/>
        <v>0</v>
      </c>
      <c r="M22" s="78">
        <f t="shared" si="9"/>
        <v>0</v>
      </c>
      <c r="N22" s="78">
        <f t="shared" si="9"/>
        <v>0</v>
      </c>
      <c r="O22" s="78">
        <f t="shared" si="9"/>
        <v>0</v>
      </c>
      <c r="P22" s="78">
        <f t="shared" si="9"/>
        <v>0</v>
      </c>
      <c r="Q22" s="78">
        <f t="shared" si="9"/>
        <v>0</v>
      </c>
      <c r="R22" s="78">
        <f t="shared" si="9"/>
        <v>0</v>
      </c>
      <c r="S22" s="78">
        <f t="shared" si="9"/>
        <v>0</v>
      </c>
      <c r="T22" s="78">
        <f t="shared" si="9"/>
        <v>0</v>
      </c>
      <c r="U22" s="78">
        <f t="shared" si="9"/>
        <v>0</v>
      </c>
      <c r="V22" s="78">
        <f t="shared" si="9"/>
        <v>0</v>
      </c>
      <c r="W22" s="78">
        <f t="shared" si="9"/>
        <v>0</v>
      </c>
      <c r="X22" s="78">
        <f t="shared" ref="R22:Y29" si="10">SUM(AU22,BM22,CE22,CW22,DO22,EG22,EY22)</f>
        <v>0</v>
      </c>
      <c r="Y22" s="78">
        <f t="shared" si="10"/>
        <v>0</v>
      </c>
      <c r="Z22" s="79">
        <f>SIS064_F_Gamtiniudujuis1Elektrosenergi5</f>
        <v>0</v>
      </c>
      <c r="AA22" s="79">
        <f>SUM(SIS062_F_Gamtiniudujuis1Geriamojovande1,SIS063_F_Gamtiniudujuis1Geriamojovande1,SIS065_F_Gamtiniudujuis1Geriamojovande1)</f>
        <v>0</v>
      </c>
      <c r="AB22" s="79">
        <f>SUM(SIS062_F_Gamtiniudujuis1Paslaugaproduk8,SIS063_F_Gamtiniudujuis1Paslaugaproduk8,SIS065_F_Gamtiniudujuis1Paslaugaproduk8)</f>
        <v>0</v>
      </c>
      <c r="AC22" s="79">
        <f>SIS064_F_Gamtiniudujuis1Elektrosenergi6</f>
        <v>0</v>
      </c>
      <c r="AD22" s="79">
        <f>SUM(SIS062_F_Gamtiniudujuis1Paslaugaproduk9,SIS063_F_Gamtiniudujuis1Paslaugaproduk9,SIS065_F_Gamtiniudujuis1Paslaugaproduk9)</f>
        <v>0</v>
      </c>
      <c r="AE22" s="80">
        <v>0</v>
      </c>
      <c r="AF22" s="81">
        <v>0</v>
      </c>
      <c r="AG22" s="81">
        <v>0</v>
      </c>
      <c r="AH22" s="81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3">
        <v>0</v>
      </c>
      <c r="AW22" s="80"/>
      <c r="AX22" s="81"/>
      <c r="AY22" s="81"/>
      <c r="AZ22" s="81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3"/>
      <c r="BO22" s="80"/>
      <c r="BP22" s="81"/>
      <c r="BQ22" s="81"/>
      <c r="BR22" s="81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3"/>
      <c r="CG22" s="80"/>
      <c r="CH22" s="81"/>
      <c r="CI22" s="81"/>
      <c r="CJ22" s="81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3"/>
      <c r="CY22" s="80"/>
      <c r="CZ22" s="81"/>
      <c r="DA22" s="81"/>
      <c r="DB22" s="81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3"/>
      <c r="DQ22" s="80"/>
      <c r="DR22" s="81"/>
      <c r="DS22" s="81"/>
      <c r="DT22" s="81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3"/>
      <c r="EI22" s="80"/>
      <c r="EJ22" s="81"/>
      <c r="EK22" s="81"/>
      <c r="EL22" s="81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3"/>
    </row>
    <row r="23" spans="1:156">
      <c r="A23" s="11"/>
      <c r="B23" s="71" t="s">
        <v>38</v>
      </c>
      <c r="C23" s="92" t="s">
        <v>39</v>
      </c>
      <c r="D23" s="93"/>
      <c r="E23" s="93"/>
      <c r="F23" s="94"/>
      <c r="G23" s="75">
        <f t="shared" si="8"/>
        <v>0</v>
      </c>
      <c r="H23" s="76">
        <f t="shared" si="9"/>
        <v>0</v>
      </c>
      <c r="I23" s="77">
        <f t="shared" si="9"/>
        <v>0</v>
      </c>
      <c r="J23" s="77">
        <f t="shared" si="9"/>
        <v>0</v>
      </c>
      <c r="K23" s="77">
        <f t="shared" si="9"/>
        <v>0</v>
      </c>
      <c r="L23" s="78">
        <f t="shared" si="9"/>
        <v>0</v>
      </c>
      <c r="M23" s="78">
        <f t="shared" si="9"/>
        <v>0</v>
      </c>
      <c r="N23" s="78">
        <f t="shared" si="9"/>
        <v>0</v>
      </c>
      <c r="O23" s="78">
        <f t="shared" si="9"/>
        <v>0</v>
      </c>
      <c r="P23" s="78">
        <f t="shared" si="9"/>
        <v>0</v>
      </c>
      <c r="Q23" s="78">
        <f t="shared" si="9"/>
        <v>0</v>
      </c>
      <c r="R23" s="78">
        <f t="shared" si="10"/>
        <v>0</v>
      </c>
      <c r="S23" s="78">
        <f t="shared" si="10"/>
        <v>0</v>
      </c>
      <c r="T23" s="78">
        <f t="shared" si="10"/>
        <v>0</v>
      </c>
      <c r="U23" s="78">
        <f t="shared" si="10"/>
        <v>0</v>
      </c>
      <c r="V23" s="78">
        <f t="shared" si="10"/>
        <v>0</v>
      </c>
      <c r="W23" s="78">
        <f t="shared" si="10"/>
        <v>0</v>
      </c>
      <c r="X23" s="78">
        <f t="shared" si="10"/>
        <v>0</v>
      </c>
      <c r="Y23" s="78">
        <f t="shared" si="10"/>
        <v>0</v>
      </c>
      <c r="Z23" s="79">
        <f>SIS064_F_Mazutoisigijim1Elektrosenergi5</f>
        <v>0</v>
      </c>
      <c r="AA23" s="79">
        <f>SUM(SIS062_F_Mazutoisigijim1Geriamojovande1,SIS063_F_Mazutoisigijim1Geriamojovande1,SIS065_F_Mazutoisigijim1Geriamojovande1)</f>
        <v>0</v>
      </c>
      <c r="AB23" s="79">
        <f>SUM(SIS062_F_Mazutoisigijim1Paslaugaproduk8,SIS063_F_Mazutoisigijim1Paslaugaproduk8,SIS065_F_Mazutoisigijim1Paslaugaproduk8)</f>
        <v>0</v>
      </c>
      <c r="AC23" s="79">
        <f>SIS064_F_Mazutoisigijim1Elektrosenergi6</f>
        <v>0</v>
      </c>
      <c r="AD23" s="79">
        <f>SUM(SIS062_F_Mazutoisigijim1Paslaugaproduk9,SIS063_F_Mazutoisigijim1Paslaugaproduk9,SIS065_F_Mazutoisigijim1Paslaugaproduk9)</f>
        <v>0</v>
      </c>
      <c r="AE23" s="80">
        <v>0</v>
      </c>
      <c r="AF23" s="81">
        <v>0</v>
      </c>
      <c r="AG23" s="81">
        <v>0</v>
      </c>
      <c r="AH23" s="81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3">
        <v>0</v>
      </c>
      <c r="AW23" s="80"/>
      <c r="AX23" s="81"/>
      <c r="AY23" s="81"/>
      <c r="AZ23" s="81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  <c r="BO23" s="80"/>
      <c r="BP23" s="81"/>
      <c r="BQ23" s="81"/>
      <c r="BR23" s="81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3"/>
      <c r="CG23" s="80"/>
      <c r="CH23" s="81"/>
      <c r="CI23" s="81"/>
      <c r="CJ23" s="81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  <c r="CY23" s="80"/>
      <c r="CZ23" s="81"/>
      <c r="DA23" s="81"/>
      <c r="DB23" s="81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3"/>
      <c r="DQ23" s="80"/>
      <c r="DR23" s="81"/>
      <c r="DS23" s="81"/>
      <c r="DT23" s="81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3"/>
      <c r="EI23" s="80"/>
      <c r="EJ23" s="81"/>
      <c r="EK23" s="81"/>
      <c r="EL23" s="81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3"/>
    </row>
    <row r="24" spans="1:156">
      <c r="A24" s="11"/>
      <c r="B24" s="71" t="s">
        <v>40</v>
      </c>
      <c r="C24" s="92" t="s">
        <v>41</v>
      </c>
      <c r="D24" s="93"/>
      <c r="E24" s="93"/>
      <c r="F24" s="94"/>
      <c r="G24" s="75">
        <f t="shared" si="8"/>
        <v>1216738.72</v>
      </c>
      <c r="H24" s="76">
        <f t="shared" si="9"/>
        <v>1216738.72</v>
      </c>
      <c r="I24" s="77">
        <f t="shared" si="9"/>
        <v>0</v>
      </c>
      <c r="J24" s="77">
        <f t="shared" si="9"/>
        <v>0</v>
      </c>
      <c r="K24" s="77">
        <f t="shared" si="9"/>
        <v>0</v>
      </c>
      <c r="L24" s="78">
        <f t="shared" si="9"/>
        <v>0</v>
      </c>
      <c r="M24" s="78">
        <f t="shared" si="9"/>
        <v>0</v>
      </c>
      <c r="N24" s="78">
        <f t="shared" si="9"/>
        <v>0</v>
      </c>
      <c r="O24" s="78">
        <f t="shared" si="9"/>
        <v>0</v>
      </c>
      <c r="P24" s="78">
        <f t="shared" si="9"/>
        <v>0</v>
      </c>
      <c r="Q24" s="78">
        <f t="shared" si="9"/>
        <v>0</v>
      </c>
      <c r="R24" s="78">
        <f t="shared" si="10"/>
        <v>0</v>
      </c>
      <c r="S24" s="78">
        <f t="shared" si="10"/>
        <v>0</v>
      </c>
      <c r="T24" s="78">
        <f t="shared" si="10"/>
        <v>0</v>
      </c>
      <c r="U24" s="78">
        <f t="shared" si="10"/>
        <v>0</v>
      </c>
      <c r="V24" s="78">
        <f t="shared" si="10"/>
        <v>0</v>
      </c>
      <c r="W24" s="78">
        <f t="shared" si="10"/>
        <v>0</v>
      </c>
      <c r="X24" s="78">
        <f t="shared" si="10"/>
        <v>0</v>
      </c>
      <c r="Y24" s="78">
        <f t="shared" si="10"/>
        <v>0</v>
      </c>
      <c r="Z24" s="79">
        <f>SIS064_F_Medienosisigij1Elektrosenergi5</f>
        <v>0</v>
      </c>
      <c r="AA24" s="79">
        <f>SUM(SIS062_F_Medienosisigij1Geriamojovande1,SIS063_F_Medienosisigij1Geriamojovande1,SIS065_F_Medienosisigij1Geriamojovande1)</f>
        <v>0</v>
      </c>
      <c r="AB24" s="79">
        <f>SUM(SIS062_F_Medienosisigij1Paslaugaproduk8,SIS063_F_Medienosisigij1Paslaugaproduk8,SIS065_F_Medienosisigij1Paslaugaproduk8)</f>
        <v>0</v>
      </c>
      <c r="AC24" s="79">
        <f>SIS064_F_Medienosisigij1Elektrosenergi6</f>
        <v>0</v>
      </c>
      <c r="AD24" s="79">
        <f>SUM(SIS062_F_Medienosisigij1Paslaugaproduk9,SIS063_F_Medienosisigij1Paslaugaproduk9,SIS065_F_Medienosisigij1Paslaugaproduk9)</f>
        <v>0</v>
      </c>
      <c r="AE24" s="80">
        <v>1216738.72</v>
      </c>
      <c r="AF24" s="81">
        <v>0</v>
      </c>
      <c r="AG24" s="81">
        <v>0</v>
      </c>
      <c r="AH24" s="81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3">
        <v>0</v>
      </c>
      <c r="AW24" s="80"/>
      <c r="AX24" s="81"/>
      <c r="AY24" s="81"/>
      <c r="AZ24" s="81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3"/>
      <c r="BO24" s="80"/>
      <c r="BP24" s="81"/>
      <c r="BQ24" s="81"/>
      <c r="BR24" s="81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3"/>
      <c r="CG24" s="80"/>
      <c r="CH24" s="81"/>
      <c r="CI24" s="81"/>
      <c r="CJ24" s="81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3"/>
      <c r="CY24" s="80"/>
      <c r="CZ24" s="81"/>
      <c r="DA24" s="81"/>
      <c r="DB24" s="81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3"/>
      <c r="DQ24" s="80"/>
      <c r="DR24" s="81"/>
      <c r="DS24" s="81"/>
      <c r="DT24" s="81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3"/>
      <c r="EI24" s="80"/>
      <c r="EJ24" s="81"/>
      <c r="EK24" s="81"/>
      <c r="EL24" s="81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3"/>
    </row>
    <row r="25" spans="1:156">
      <c r="A25" s="11"/>
      <c r="B25" s="71" t="s">
        <v>42</v>
      </c>
      <c r="C25" s="92" t="str">
        <f>SIS055_D_Kitoskurorusie1</f>
        <v>Dyzelinas</v>
      </c>
      <c r="D25" s="93"/>
      <c r="E25" s="93"/>
      <c r="F25" s="94"/>
      <c r="G25" s="75">
        <f t="shared" si="8"/>
        <v>44615.329999999994</v>
      </c>
      <c r="H25" s="76">
        <f t="shared" si="9"/>
        <v>44615.329999999994</v>
      </c>
      <c r="I25" s="77">
        <f t="shared" si="9"/>
        <v>0</v>
      </c>
      <c r="J25" s="77">
        <f t="shared" si="9"/>
        <v>0</v>
      </c>
      <c r="K25" s="77">
        <f t="shared" si="9"/>
        <v>0</v>
      </c>
      <c r="L25" s="78">
        <f t="shared" si="9"/>
        <v>0</v>
      </c>
      <c r="M25" s="78">
        <f t="shared" si="9"/>
        <v>0</v>
      </c>
      <c r="N25" s="78">
        <f t="shared" si="9"/>
        <v>0</v>
      </c>
      <c r="O25" s="78">
        <f t="shared" si="9"/>
        <v>0</v>
      </c>
      <c r="P25" s="78">
        <f t="shared" si="9"/>
        <v>0</v>
      </c>
      <c r="Q25" s="78">
        <f t="shared" si="9"/>
        <v>0</v>
      </c>
      <c r="R25" s="78">
        <f t="shared" si="10"/>
        <v>0</v>
      </c>
      <c r="S25" s="78">
        <f t="shared" si="10"/>
        <v>0</v>
      </c>
      <c r="T25" s="78">
        <f t="shared" si="10"/>
        <v>0</v>
      </c>
      <c r="U25" s="78">
        <f t="shared" si="10"/>
        <v>0</v>
      </c>
      <c r="V25" s="78">
        <f t="shared" si="10"/>
        <v>0</v>
      </c>
      <c r="W25" s="78">
        <f t="shared" si="10"/>
        <v>0</v>
      </c>
      <c r="X25" s="78">
        <f t="shared" si="10"/>
        <v>0</v>
      </c>
      <c r="Y25" s="78">
        <f t="shared" si="10"/>
        <v>0</v>
      </c>
      <c r="Z25" s="79">
        <f>SIS064_F_Kitoskurorusie1Elektrosenergi5</f>
        <v>0</v>
      </c>
      <c r="AA25" s="79">
        <f>SUM(SIS062_F_Kitoskurorusie1Geriamojovande1,SIS063_F_Kitoskurorusie1Geriamojovande1,SIS065_F_Kitoskurorusie1Geriamojovande1)</f>
        <v>0</v>
      </c>
      <c r="AB25" s="79">
        <f>SUM(SIS062_F_Kitoskurorusie1Paslaugaproduk8,SIS063_F_Kitoskurorusie1Paslaugaproduk8,SIS065_F_Kitoskurorusie1Paslaugaproduk8)</f>
        <v>0</v>
      </c>
      <c r="AC25" s="79">
        <f>SIS064_F_Kitoskurorusie1Elektrosenergi6</f>
        <v>0</v>
      </c>
      <c r="AD25" s="79">
        <f>SUM(SIS062_F_Kitoskurorusie1Paslaugaproduk9,SIS063_F_Kitoskurorusie1Paslaugaproduk9,SIS065_F_Kitoskurorusie1Paslaugaproduk9)</f>
        <v>0</v>
      </c>
      <c r="AE25" s="80">
        <v>44615.329999999994</v>
      </c>
      <c r="AF25" s="81">
        <v>0</v>
      </c>
      <c r="AG25" s="81">
        <v>0</v>
      </c>
      <c r="AH25" s="81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3">
        <v>0</v>
      </c>
      <c r="AW25" s="80"/>
      <c r="AX25" s="81"/>
      <c r="AY25" s="81"/>
      <c r="AZ25" s="81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3"/>
      <c r="BO25" s="80"/>
      <c r="BP25" s="81"/>
      <c r="BQ25" s="81"/>
      <c r="BR25" s="81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3"/>
      <c r="CG25" s="80"/>
      <c r="CH25" s="81"/>
      <c r="CI25" s="81"/>
      <c r="CJ25" s="81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3"/>
      <c r="CY25" s="80"/>
      <c r="CZ25" s="81"/>
      <c r="DA25" s="81"/>
      <c r="DB25" s="81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3"/>
      <c r="DQ25" s="80"/>
      <c r="DR25" s="81"/>
      <c r="DS25" s="81"/>
      <c r="DT25" s="81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3"/>
      <c r="EI25" s="80"/>
      <c r="EJ25" s="81"/>
      <c r="EK25" s="81"/>
      <c r="EL25" s="81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3"/>
    </row>
    <row r="26" spans="1:156">
      <c r="A26" s="11"/>
      <c r="B26" s="71" t="s">
        <v>43</v>
      </c>
      <c r="C26" s="92" t="str">
        <f>SIS055_D_Kitoskurorusie2</f>
        <v>Šiaudai</v>
      </c>
      <c r="D26" s="93"/>
      <c r="E26" s="93"/>
      <c r="F26" s="94"/>
      <c r="G26" s="75">
        <f t="shared" si="8"/>
        <v>56664.21</v>
      </c>
      <c r="H26" s="76">
        <f t="shared" si="9"/>
        <v>56664.21</v>
      </c>
      <c r="I26" s="77">
        <f t="shared" si="9"/>
        <v>0</v>
      </c>
      <c r="J26" s="77">
        <f t="shared" si="9"/>
        <v>0</v>
      </c>
      <c r="K26" s="77">
        <f t="shared" si="9"/>
        <v>0</v>
      </c>
      <c r="L26" s="78">
        <f t="shared" si="9"/>
        <v>0</v>
      </c>
      <c r="M26" s="78">
        <f t="shared" si="9"/>
        <v>0</v>
      </c>
      <c r="N26" s="78">
        <f t="shared" si="9"/>
        <v>0</v>
      </c>
      <c r="O26" s="78">
        <f t="shared" si="9"/>
        <v>0</v>
      </c>
      <c r="P26" s="78">
        <f t="shared" si="9"/>
        <v>0</v>
      </c>
      <c r="Q26" s="78">
        <f t="shared" si="9"/>
        <v>0</v>
      </c>
      <c r="R26" s="78">
        <f t="shared" si="10"/>
        <v>0</v>
      </c>
      <c r="S26" s="78">
        <f t="shared" si="10"/>
        <v>0</v>
      </c>
      <c r="T26" s="78">
        <f t="shared" si="10"/>
        <v>0</v>
      </c>
      <c r="U26" s="78">
        <f t="shared" si="10"/>
        <v>0</v>
      </c>
      <c r="V26" s="78">
        <f t="shared" si="10"/>
        <v>0</v>
      </c>
      <c r="W26" s="78">
        <f t="shared" si="10"/>
        <v>0</v>
      </c>
      <c r="X26" s="78">
        <f t="shared" si="10"/>
        <v>0</v>
      </c>
      <c r="Y26" s="78">
        <f t="shared" si="10"/>
        <v>0</v>
      </c>
      <c r="Z26" s="79">
        <f>SIS064_F_Kitoskurorusie2Elektrosenergi5</f>
        <v>0</v>
      </c>
      <c r="AA26" s="79">
        <f>SUM(SIS062_F_Kitoskurorusie2Geriamojovande1,SIS063_F_Kitoskurorusie2Geriamojovande1,SIS065_F_Kitoskurorusie2Geriamojovande1)</f>
        <v>0</v>
      </c>
      <c r="AB26" s="79">
        <f>SUM(SIS062_F_Kitoskurorusie2Paslaugaproduk8,SIS063_F_Kitoskurorusie2Paslaugaproduk8,SIS065_F_Kitoskurorusie2Paslaugaproduk8)</f>
        <v>0</v>
      </c>
      <c r="AC26" s="79">
        <f>SIS064_F_Kitoskurorusie2Elektrosenergi6</f>
        <v>0</v>
      </c>
      <c r="AD26" s="79">
        <f>SUM(SIS062_F_Kitoskurorusie2Paslaugaproduk9,SIS063_F_Kitoskurorusie2Paslaugaproduk9,SIS065_F_Kitoskurorusie2Paslaugaproduk9)</f>
        <v>0</v>
      </c>
      <c r="AE26" s="80">
        <v>56664.21</v>
      </c>
      <c r="AF26" s="81">
        <v>0</v>
      </c>
      <c r="AG26" s="81">
        <v>0</v>
      </c>
      <c r="AH26" s="81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3">
        <v>0</v>
      </c>
      <c r="AW26" s="80"/>
      <c r="AX26" s="81"/>
      <c r="AY26" s="81"/>
      <c r="AZ26" s="81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3"/>
      <c r="BO26" s="80"/>
      <c r="BP26" s="81"/>
      <c r="BQ26" s="81"/>
      <c r="BR26" s="81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3"/>
      <c r="CG26" s="80"/>
      <c r="CH26" s="81"/>
      <c r="CI26" s="81"/>
      <c r="CJ26" s="81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  <c r="CY26" s="80"/>
      <c r="CZ26" s="81"/>
      <c r="DA26" s="81"/>
      <c r="DB26" s="81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3"/>
      <c r="DQ26" s="80"/>
      <c r="DR26" s="81"/>
      <c r="DS26" s="81"/>
      <c r="DT26" s="81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3"/>
      <c r="EI26" s="80"/>
      <c r="EJ26" s="81"/>
      <c r="EK26" s="81"/>
      <c r="EL26" s="81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3"/>
    </row>
    <row r="27" spans="1:156">
      <c r="A27" s="11"/>
      <c r="B27" s="71" t="s">
        <v>44</v>
      </c>
      <c r="C27" s="92" t="str">
        <f>SIS055_D_Kitoskurorusie3</f>
        <v>Granulės</v>
      </c>
      <c r="D27" s="93"/>
      <c r="E27" s="93"/>
      <c r="F27" s="94"/>
      <c r="G27" s="75">
        <f t="shared" si="8"/>
        <v>57467.4</v>
      </c>
      <c r="H27" s="76">
        <f t="shared" si="9"/>
        <v>57467.4</v>
      </c>
      <c r="I27" s="77">
        <f t="shared" si="9"/>
        <v>0</v>
      </c>
      <c r="J27" s="77">
        <f t="shared" si="9"/>
        <v>0</v>
      </c>
      <c r="K27" s="77">
        <f t="shared" si="9"/>
        <v>0</v>
      </c>
      <c r="L27" s="78">
        <f t="shared" si="9"/>
        <v>0</v>
      </c>
      <c r="M27" s="78">
        <f t="shared" si="9"/>
        <v>0</v>
      </c>
      <c r="N27" s="78">
        <f t="shared" si="9"/>
        <v>0</v>
      </c>
      <c r="O27" s="78">
        <f t="shared" si="9"/>
        <v>0</v>
      </c>
      <c r="P27" s="78">
        <f t="shared" si="9"/>
        <v>0</v>
      </c>
      <c r="Q27" s="78">
        <f t="shared" si="9"/>
        <v>0</v>
      </c>
      <c r="R27" s="78">
        <f t="shared" si="10"/>
        <v>0</v>
      </c>
      <c r="S27" s="78">
        <f t="shared" si="10"/>
        <v>0</v>
      </c>
      <c r="T27" s="78">
        <f t="shared" si="10"/>
        <v>0</v>
      </c>
      <c r="U27" s="78">
        <f t="shared" si="10"/>
        <v>0</v>
      </c>
      <c r="V27" s="78">
        <f t="shared" si="10"/>
        <v>0</v>
      </c>
      <c r="W27" s="78">
        <f t="shared" si="10"/>
        <v>0</v>
      </c>
      <c r="X27" s="78">
        <f t="shared" si="10"/>
        <v>0</v>
      </c>
      <c r="Y27" s="78">
        <f t="shared" si="10"/>
        <v>0</v>
      </c>
      <c r="Z27" s="79">
        <f>SIS064_F_Kitoskurorusie3Elektrosenergi5</f>
        <v>0</v>
      </c>
      <c r="AA27" s="79">
        <f>SUM(SIS062_F_Kitoskurorusie3Geriamojovande1,SIS063_F_Kitoskurorusie3Geriamojovande1,SIS065_F_Kitoskurorusie3Geriamojovande1)</f>
        <v>0</v>
      </c>
      <c r="AB27" s="79">
        <f>SUM(SIS062_F_Kitoskurorusie3Paslaugaproduk8,SIS063_F_Kitoskurorusie3Paslaugaproduk8,SIS065_F_Kitoskurorusie3Paslaugaproduk8)</f>
        <v>0</v>
      </c>
      <c r="AC27" s="79">
        <f>SIS064_F_Kitoskurorusie3Elektrosenergi6</f>
        <v>0</v>
      </c>
      <c r="AD27" s="79">
        <f>SUM(SIS062_F_Kitoskurorusie3Paslaugaproduk9,SIS063_F_Kitoskurorusie3Paslaugaproduk9,SIS065_F_Kitoskurorusie3Paslaugaproduk9)</f>
        <v>0</v>
      </c>
      <c r="AE27" s="80">
        <v>57467.4</v>
      </c>
      <c r="AF27" s="81">
        <v>0</v>
      </c>
      <c r="AG27" s="81">
        <v>0</v>
      </c>
      <c r="AH27" s="81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3">
        <v>0</v>
      </c>
      <c r="AW27" s="80"/>
      <c r="AX27" s="81"/>
      <c r="AY27" s="81"/>
      <c r="AZ27" s="81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3"/>
      <c r="BO27" s="80"/>
      <c r="BP27" s="81"/>
      <c r="BQ27" s="81"/>
      <c r="BR27" s="81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3"/>
      <c r="CG27" s="80"/>
      <c r="CH27" s="81"/>
      <c r="CI27" s="81"/>
      <c r="CJ27" s="81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3"/>
      <c r="CY27" s="80"/>
      <c r="CZ27" s="81"/>
      <c r="DA27" s="81"/>
      <c r="DB27" s="81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3"/>
      <c r="DQ27" s="80"/>
      <c r="DR27" s="81"/>
      <c r="DS27" s="81"/>
      <c r="DT27" s="81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80"/>
      <c r="EJ27" s="81"/>
      <c r="EK27" s="81"/>
      <c r="EL27" s="81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3"/>
    </row>
    <row r="28" spans="1:156">
      <c r="A28" s="11"/>
      <c r="B28" s="71" t="s">
        <v>45</v>
      </c>
      <c r="C28" s="92" t="str">
        <f>SIS055_D_Kitoskurorusie4</f>
        <v>Anglys</v>
      </c>
      <c r="D28" s="93"/>
      <c r="E28" s="93"/>
      <c r="F28" s="94"/>
      <c r="G28" s="75">
        <f t="shared" si="8"/>
        <v>28943.5</v>
      </c>
      <c r="H28" s="76">
        <f t="shared" si="9"/>
        <v>28943.5</v>
      </c>
      <c r="I28" s="77">
        <f t="shared" si="9"/>
        <v>0</v>
      </c>
      <c r="J28" s="77">
        <f t="shared" si="9"/>
        <v>0</v>
      </c>
      <c r="K28" s="77">
        <f t="shared" si="9"/>
        <v>0</v>
      </c>
      <c r="L28" s="78">
        <f t="shared" si="9"/>
        <v>0</v>
      </c>
      <c r="M28" s="78">
        <f t="shared" si="9"/>
        <v>0</v>
      </c>
      <c r="N28" s="78">
        <f t="shared" si="9"/>
        <v>0</v>
      </c>
      <c r="O28" s="78">
        <f t="shared" si="9"/>
        <v>0</v>
      </c>
      <c r="P28" s="78">
        <f t="shared" si="9"/>
        <v>0</v>
      </c>
      <c r="Q28" s="78">
        <f t="shared" si="9"/>
        <v>0</v>
      </c>
      <c r="R28" s="78">
        <f t="shared" si="10"/>
        <v>0</v>
      </c>
      <c r="S28" s="78">
        <f t="shared" si="10"/>
        <v>0</v>
      </c>
      <c r="T28" s="78">
        <f t="shared" si="10"/>
        <v>0</v>
      </c>
      <c r="U28" s="78">
        <f t="shared" si="10"/>
        <v>0</v>
      </c>
      <c r="V28" s="78">
        <f t="shared" si="10"/>
        <v>0</v>
      </c>
      <c r="W28" s="78">
        <f t="shared" si="10"/>
        <v>0</v>
      </c>
      <c r="X28" s="78">
        <f t="shared" si="10"/>
        <v>0</v>
      </c>
      <c r="Y28" s="78">
        <f t="shared" si="10"/>
        <v>0</v>
      </c>
      <c r="Z28" s="79">
        <f>SIS064_F_Kitoskurorusie4Elektrosenergi5</f>
        <v>0</v>
      </c>
      <c r="AA28" s="79">
        <f>SUM(SIS062_F_Kitoskurorusie4Geriamojovande1,SIS063_F_Kitoskurorusie4Geriamojovande1,SIS065_F_Kitoskurorusie4Geriamojovande1)</f>
        <v>0</v>
      </c>
      <c r="AB28" s="79">
        <f>SUM(SIS062_F_Kitoskurorusie4Paslaugaproduk8,SIS063_F_Kitoskurorusie4Paslaugaproduk8,SIS065_F_Kitoskurorusie4Paslaugaproduk8)</f>
        <v>0</v>
      </c>
      <c r="AC28" s="79">
        <f>SIS064_F_Kitoskurorusie4Elektrosenergi6</f>
        <v>0</v>
      </c>
      <c r="AD28" s="79">
        <f>SUM(SIS062_F_Kitoskurorusie4Paslaugaproduk9,SIS063_F_Kitoskurorusie4Paslaugaproduk9,SIS065_F_Kitoskurorusie4Paslaugaproduk9)</f>
        <v>0</v>
      </c>
      <c r="AE28" s="80">
        <v>28943.5</v>
      </c>
      <c r="AF28" s="81">
        <v>0</v>
      </c>
      <c r="AG28" s="81">
        <v>0</v>
      </c>
      <c r="AH28" s="81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3">
        <v>0</v>
      </c>
      <c r="AW28" s="80"/>
      <c r="AX28" s="81"/>
      <c r="AY28" s="81"/>
      <c r="AZ28" s="81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3"/>
      <c r="BO28" s="80"/>
      <c r="BP28" s="81"/>
      <c r="BQ28" s="81"/>
      <c r="BR28" s="81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3"/>
      <c r="CG28" s="80"/>
      <c r="CH28" s="81"/>
      <c r="CI28" s="81"/>
      <c r="CJ28" s="81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3"/>
      <c r="CY28" s="80"/>
      <c r="CZ28" s="81"/>
      <c r="DA28" s="81"/>
      <c r="DB28" s="81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3"/>
      <c r="DQ28" s="80"/>
      <c r="DR28" s="81"/>
      <c r="DS28" s="81"/>
      <c r="DT28" s="81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3"/>
      <c r="EI28" s="80"/>
      <c r="EJ28" s="81"/>
      <c r="EK28" s="81"/>
      <c r="EL28" s="81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3"/>
    </row>
    <row r="29" spans="1:156">
      <c r="A29" s="11"/>
      <c r="B29" s="71" t="s">
        <v>46</v>
      </c>
      <c r="C29" s="72" t="str">
        <f>SIS055_D_Kitossanaudoss2</f>
        <v>Kitos sąnaudos, susijusios su kuro įsigijimu (nurodyti)</v>
      </c>
      <c r="D29" s="73"/>
      <c r="E29" s="73"/>
      <c r="F29" s="74"/>
      <c r="G29" s="75">
        <f t="shared" si="8"/>
        <v>0</v>
      </c>
      <c r="H29" s="76">
        <f t="shared" si="9"/>
        <v>0</v>
      </c>
      <c r="I29" s="77">
        <f t="shared" si="9"/>
        <v>0</v>
      </c>
      <c r="J29" s="77">
        <f t="shared" si="9"/>
        <v>0</v>
      </c>
      <c r="K29" s="77">
        <f t="shared" si="9"/>
        <v>0</v>
      </c>
      <c r="L29" s="78">
        <f t="shared" si="9"/>
        <v>0</v>
      </c>
      <c r="M29" s="78">
        <f t="shared" si="9"/>
        <v>0</v>
      </c>
      <c r="N29" s="78">
        <f t="shared" si="9"/>
        <v>0</v>
      </c>
      <c r="O29" s="78">
        <f t="shared" si="9"/>
        <v>0</v>
      </c>
      <c r="P29" s="78">
        <f t="shared" si="9"/>
        <v>0</v>
      </c>
      <c r="Q29" s="78">
        <f t="shared" si="9"/>
        <v>0</v>
      </c>
      <c r="R29" s="78">
        <f t="shared" si="10"/>
        <v>0</v>
      </c>
      <c r="S29" s="78">
        <f t="shared" si="10"/>
        <v>0</v>
      </c>
      <c r="T29" s="78">
        <f t="shared" si="10"/>
        <v>0</v>
      </c>
      <c r="U29" s="78">
        <f t="shared" si="10"/>
        <v>0</v>
      </c>
      <c r="V29" s="78">
        <f t="shared" si="10"/>
        <v>0</v>
      </c>
      <c r="W29" s="78">
        <f t="shared" si="10"/>
        <v>0</v>
      </c>
      <c r="X29" s="78">
        <f t="shared" si="10"/>
        <v>0</v>
      </c>
      <c r="Y29" s="78">
        <f t="shared" si="10"/>
        <v>0</v>
      </c>
      <c r="Z29" s="79">
        <f>SIS064_F_Kitossanaudoss2Elektrosenergi5</f>
        <v>0</v>
      </c>
      <c r="AA29" s="79">
        <f>SUM(SIS062_F_Kitossanaudoss2Geriamojovande1,SIS063_F_Kitossanaudoss2Geriamojovande1,SIS065_F_Kitossanaudoss2Geriamojovande1)</f>
        <v>0</v>
      </c>
      <c r="AB29" s="79">
        <f>SUM(SIS062_F_Kitossanaudoss2Paslaugaproduk8,SIS063_F_Kitossanaudoss2Paslaugaproduk8,SIS065_F_Kitossanaudoss2Paslaugaproduk8)</f>
        <v>0</v>
      </c>
      <c r="AC29" s="79">
        <f>SIS064_F_Kitossanaudoss2Elektrosenergi6</f>
        <v>0</v>
      </c>
      <c r="AD29" s="79">
        <f>SUM(SIS062_F_Kitossanaudoss2Paslaugaproduk9,SIS063_F_Kitossanaudoss2Paslaugaproduk9,SIS065_F_Kitossanaudoss2Paslaugaproduk9)</f>
        <v>0</v>
      </c>
      <c r="AE29" s="80">
        <v>0</v>
      </c>
      <c r="AF29" s="81">
        <v>0</v>
      </c>
      <c r="AG29" s="81">
        <v>0</v>
      </c>
      <c r="AH29" s="81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3">
        <v>0</v>
      </c>
      <c r="AW29" s="80"/>
      <c r="AX29" s="81"/>
      <c r="AY29" s="81"/>
      <c r="AZ29" s="81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3"/>
      <c r="BO29" s="80"/>
      <c r="BP29" s="81"/>
      <c r="BQ29" s="81"/>
      <c r="BR29" s="81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3"/>
      <c r="CG29" s="80"/>
      <c r="CH29" s="81"/>
      <c r="CI29" s="81"/>
      <c r="CJ29" s="81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3"/>
      <c r="CY29" s="80"/>
      <c r="CZ29" s="81"/>
      <c r="DA29" s="81"/>
      <c r="DB29" s="81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3"/>
      <c r="DQ29" s="80"/>
      <c r="DR29" s="81"/>
      <c r="DS29" s="81"/>
      <c r="DT29" s="81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3"/>
      <c r="EI29" s="80"/>
      <c r="EJ29" s="81"/>
      <c r="EK29" s="81"/>
      <c r="EL29" s="81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3"/>
    </row>
    <row r="30" spans="1:156">
      <c r="A30" s="11"/>
      <c r="B30" s="84" t="s">
        <v>47</v>
      </c>
      <c r="C30" s="95" t="s">
        <v>48</v>
      </c>
      <c r="D30" s="96"/>
      <c r="E30" s="96"/>
      <c r="F30" s="97"/>
      <c r="G30" s="75">
        <f t="shared" ref="G30:AD30" si="11">SUM(G31:G33)</f>
        <v>127278.87</v>
      </c>
      <c r="H30" s="88">
        <f t="shared" si="11"/>
        <v>49116.17</v>
      </c>
      <c r="I30" s="89">
        <f t="shared" si="11"/>
        <v>0</v>
      </c>
      <c r="J30" s="89">
        <f t="shared" si="11"/>
        <v>0</v>
      </c>
      <c r="K30" s="89">
        <f t="shared" si="11"/>
        <v>0</v>
      </c>
      <c r="L30" s="90">
        <f t="shared" si="11"/>
        <v>0</v>
      </c>
      <c r="M30" s="90">
        <f t="shared" si="11"/>
        <v>78162.7</v>
      </c>
      <c r="N30" s="90">
        <f t="shared" si="11"/>
        <v>0</v>
      </c>
      <c r="O30" s="90">
        <f t="shared" si="11"/>
        <v>0</v>
      </c>
      <c r="P30" s="90">
        <f t="shared" si="11"/>
        <v>0</v>
      </c>
      <c r="Q30" s="90">
        <f t="shared" si="11"/>
        <v>0</v>
      </c>
      <c r="R30" s="90">
        <f t="shared" si="11"/>
        <v>0</v>
      </c>
      <c r="S30" s="90">
        <f t="shared" si="11"/>
        <v>0</v>
      </c>
      <c r="T30" s="90">
        <f t="shared" si="11"/>
        <v>0</v>
      </c>
      <c r="U30" s="90">
        <f t="shared" si="11"/>
        <v>0</v>
      </c>
      <c r="V30" s="90">
        <f t="shared" si="11"/>
        <v>0</v>
      </c>
      <c r="W30" s="90">
        <f t="shared" si="11"/>
        <v>0</v>
      </c>
      <c r="X30" s="90">
        <f t="shared" si="11"/>
        <v>0</v>
      </c>
      <c r="Y30" s="90">
        <f t="shared" si="11"/>
        <v>0</v>
      </c>
      <c r="Z30" s="90">
        <f t="shared" si="11"/>
        <v>0</v>
      </c>
      <c r="AA30" s="90">
        <f t="shared" si="11"/>
        <v>0</v>
      </c>
      <c r="AB30" s="90">
        <f t="shared" si="11"/>
        <v>0</v>
      </c>
      <c r="AC30" s="90">
        <f t="shared" si="11"/>
        <v>0</v>
      </c>
      <c r="AD30" s="90">
        <f t="shared" si="11"/>
        <v>0</v>
      </c>
      <c r="AE30" s="88">
        <f t="shared" ref="AE30:CP30" si="12">SUM(AE31:AE33)</f>
        <v>49116.17</v>
      </c>
      <c r="AF30" s="89">
        <f t="shared" si="12"/>
        <v>0</v>
      </c>
      <c r="AG30" s="89">
        <f t="shared" si="12"/>
        <v>0</v>
      </c>
      <c r="AH30" s="89">
        <f t="shared" si="12"/>
        <v>0</v>
      </c>
      <c r="AI30" s="90">
        <f t="shared" si="12"/>
        <v>0</v>
      </c>
      <c r="AJ30" s="90">
        <f t="shared" si="12"/>
        <v>78162.7</v>
      </c>
      <c r="AK30" s="90">
        <f t="shared" si="12"/>
        <v>0</v>
      </c>
      <c r="AL30" s="90">
        <f t="shared" si="12"/>
        <v>0</v>
      </c>
      <c r="AM30" s="90">
        <f t="shared" si="12"/>
        <v>0</v>
      </c>
      <c r="AN30" s="90">
        <f t="shared" si="12"/>
        <v>0</v>
      </c>
      <c r="AO30" s="90">
        <f t="shared" si="12"/>
        <v>0</v>
      </c>
      <c r="AP30" s="90">
        <f t="shared" si="12"/>
        <v>0</v>
      </c>
      <c r="AQ30" s="90">
        <f t="shared" si="12"/>
        <v>0</v>
      </c>
      <c r="AR30" s="90">
        <f t="shared" si="12"/>
        <v>0</v>
      </c>
      <c r="AS30" s="90">
        <f t="shared" si="12"/>
        <v>0</v>
      </c>
      <c r="AT30" s="90">
        <f t="shared" si="12"/>
        <v>0</v>
      </c>
      <c r="AU30" s="90">
        <f t="shared" si="12"/>
        <v>0</v>
      </c>
      <c r="AV30" s="91">
        <f t="shared" si="12"/>
        <v>0</v>
      </c>
      <c r="AW30" s="88">
        <f t="shared" si="12"/>
        <v>0</v>
      </c>
      <c r="AX30" s="89">
        <f t="shared" si="12"/>
        <v>0</v>
      </c>
      <c r="AY30" s="89">
        <f t="shared" si="12"/>
        <v>0</v>
      </c>
      <c r="AZ30" s="89">
        <f t="shared" si="12"/>
        <v>0</v>
      </c>
      <c r="BA30" s="90">
        <f t="shared" si="12"/>
        <v>0</v>
      </c>
      <c r="BB30" s="90">
        <f t="shared" si="12"/>
        <v>0</v>
      </c>
      <c r="BC30" s="90">
        <f t="shared" si="12"/>
        <v>0</v>
      </c>
      <c r="BD30" s="90">
        <f t="shared" si="12"/>
        <v>0</v>
      </c>
      <c r="BE30" s="90">
        <f t="shared" si="12"/>
        <v>0</v>
      </c>
      <c r="BF30" s="90">
        <f t="shared" si="12"/>
        <v>0</v>
      </c>
      <c r="BG30" s="90">
        <f t="shared" si="12"/>
        <v>0</v>
      </c>
      <c r="BH30" s="90">
        <f t="shared" si="12"/>
        <v>0</v>
      </c>
      <c r="BI30" s="90">
        <f t="shared" si="12"/>
        <v>0</v>
      </c>
      <c r="BJ30" s="90">
        <f t="shared" si="12"/>
        <v>0</v>
      </c>
      <c r="BK30" s="90">
        <f t="shared" si="12"/>
        <v>0</v>
      </c>
      <c r="BL30" s="90">
        <f t="shared" si="12"/>
        <v>0</v>
      </c>
      <c r="BM30" s="90">
        <f t="shared" si="12"/>
        <v>0</v>
      </c>
      <c r="BN30" s="91">
        <f t="shared" si="12"/>
        <v>0</v>
      </c>
      <c r="BO30" s="88">
        <f t="shared" si="12"/>
        <v>0</v>
      </c>
      <c r="BP30" s="89">
        <f t="shared" si="12"/>
        <v>0</v>
      </c>
      <c r="BQ30" s="89">
        <f t="shared" si="12"/>
        <v>0</v>
      </c>
      <c r="BR30" s="89">
        <f t="shared" si="12"/>
        <v>0</v>
      </c>
      <c r="BS30" s="90">
        <f t="shared" si="12"/>
        <v>0</v>
      </c>
      <c r="BT30" s="90">
        <f t="shared" si="12"/>
        <v>0</v>
      </c>
      <c r="BU30" s="90">
        <f t="shared" si="12"/>
        <v>0</v>
      </c>
      <c r="BV30" s="90">
        <f t="shared" si="12"/>
        <v>0</v>
      </c>
      <c r="BW30" s="90">
        <f t="shared" si="12"/>
        <v>0</v>
      </c>
      <c r="BX30" s="90">
        <f t="shared" si="12"/>
        <v>0</v>
      </c>
      <c r="BY30" s="90">
        <f t="shared" si="12"/>
        <v>0</v>
      </c>
      <c r="BZ30" s="90">
        <f t="shared" si="12"/>
        <v>0</v>
      </c>
      <c r="CA30" s="90">
        <f t="shared" si="12"/>
        <v>0</v>
      </c>
      <c r="CB30" s="90">
        <f t="shared" si="12"/>
        <v>0</v>
      </c>
      <c r="CC30" s="90">
        <f t="shared" si="12"/>
        <v>0</v>
      </c>
      <c r="CD30" s="90">
        <f t="shared" si="12"/>
        <v>0</v>
      </c>
      <c r="CE30" s="90">
        <f t="shared" si="12"/>
        <v>0</v>
      </c>
      <c r="CF30" s="91">
        <f t="shared" si="12"/>
        <v>0</v>
      </c>
      <c r="CG30" s="88">
        <f t="shared" si="12"/>
        <v>0</v>
      </c>
      <c r="CH30" s="89">
        <f t="shared" si="12"/>
        <v>0</v>
      </c>
      <c r="CI30" s="89">
        <f t="shared" si="12"/>
        <v>0</v>
      </c>
      <c r="CJ30" s="89">
        <f t="shared" si="12"/>
        <v>0</v>
      </c>
      <c r="CK30" s="90">
        <f t="shared" si="12"/>
        <v>0</v>
      </c>
      <c r="CL30" s="90">
        <f t="shared" si="12"/>
        <v>0</v>
      </c>
      <c r="CM30" s="90">
        <f t="shared" si="12"/>
        <v>0</v>
      </c>
      <c r="CN30" s="90">
        <f t="shared" si="12"/>
        <v>0</v>
      </c>
      <c r="CO30" s="90">
        <f t="shared" si="12"/>
        <v>0</v>
      </c>
      <c r="CP30" s="90">
        <f t="shared" si="12"/>
        <v>0</v>
      </c>
      <c r="CQ30" s="90">
        <f t="shared" ref="CQ30:EZ30" si="13">SUM(CQ31:CQ33)</f>
        <v>0</v>
      </c>
      <c r="CR30" s="90">
        <f t="shared" si="13"/>
        <v>0</v>
      </c>
      <c r="CS30" s="90">
        <f t="shared" si="13"/>
        <v>0</v>
      </c>
      <c r="CT30" s="90">
        <f t="shared" si="13"/>
        <v>0</v>
      </c>
      <c r="CU30" s="90">
        <f t="shared" si="13"/>
        <v>0</v>
      </c>
      <c r="CV30" s="90">
        <f t="shared" si="13"/>
        <v>0</v>
      </c>
      <c r="CW30" s="90">
        <f t="shared" si="13"/>
        <v>0</v>
      </c>
      <c r="CX30" s="91">
        <f t="shared" si="13"/>
        <v>0</v>
      </c>
      <c r="CY30" s="88">
        <f t="shared" si="13"/>
        <v>0</v>
      </c>
      <c r="CZ30" s="89">
        <f t="shared" si="13"/>
        <v>0</v>
      </c>
      <c r="DA30" s="89">
        <f t="shared" si="13"/>
        <v>0</v>
      </c>
      <c r="DB30" s="89">
        <f t="shared" si="13"/>
        <v>0</v>
      </c>
      <c r="DC30" s="90">
        <f t="shared" si="13"/>
        <v>0</v>
      </c>
      <c r="DD30" s="90">
        <f t="shared" si="13"/>
        <v>0</v>
      </c>
      <c r="DE30" s="90">
        <f t="shared" si="13"/>
        <v>0</v>
      </c>
      <c r="DF30" s="90">
        <f t="shared" si="13"/>
        <v>0</v>
      </c>
      <c r="DG30" s="90">
        <f t="shared" si="13"/>
        <v>0</v>
      </c>
      <c r="DH30" s="90">
        <f t="shared" si="13"/>
        <v>0</v>
      </c>
      <c r="DI30" s="90">
        <f t="shared" si="13"/>
        <v>0</v>
      </c>
      <c r="DJ30" s="90">
        <f t="shared" si="13"/>
        <v>0</v>
      </c>
      <c r="DK30" s="90">
        <f t="shared" si="13"/>
        <v>0</v>
      </c>
      <c r="DL30" s="90">
        <f t="shared" si="13"/>
        <v>0</v>
      </c>
      <c r="DM30" s="90">
        <f t="shared" si="13"/>
        <v>0</v>
      </c>
      <c r="DN30" s="90">
        <f t="shared" si="13"/>
        <v>0</v>
      </c>
      <c r="DO30" s="90">
        <f t="shared" si="13"/>
        <v>0</v>
      </c>
      <c r="DP30" s="91">
        <f t="shared" si="13"/>
        <v>0</v>
      </c>
      <c r="DQ30" s="88">
        <f t="shared" si="13"/>
        <v>0</v>
      </c>
      <c r="DR30" s="89">
        <f t="shared" si="13"/>
        <v>0</v>
      </c>
      <c r="DS30" s="89">
        <f t="shared" si="13"/>
        <v>0</v>
      </c>
      <c r="DT30" s="89">
        <f t="shared" si="13"/>
        <v>0</v>
      </c>
      <c r="DU30" s="90">
        <f t="shared" si="13"/>
        <v>0</v>
      </c>
      <c r="DV30" s="90">
        <f t="shared" si="13"/>
        <v>0</v>
      </c>
      <c r="DW30" s="90">
        <f t="shared" si="13"/>
        <v>0</v>
      </c>
      <c r="DX30" s="90">
        <f t="shared" si="13"/>
        <v>0</v>
      </c>
      <c r="DY30" s="90">
        <f t="shared" si="13"/>
        <v>0</v>
      </c>
      <c r="DZ30" s="90">
        <f t="shared" si="13"/>
        <v>0</v>
      </c>
      <c r="EA30" s="90">
        <f t="shared" si="13"/>
        <v>0</v>
      </c>
      <c r="EB30" s="90">
        <f t="shared" si="13"/>
        <v>0</v>
      </c>
      <c r="EC30" s="90">
        <f t="shared" si="13"/>
        <v>0</v>
      </c>
      <c r="ED30" s="90">
        <f t="shared" si="13"/>
        <v>0</v>
      </c>
      <c r="EE30" s="90">
        <f t="shared" si="13"/>
        <v>0</v>
      </c>
      <c r="EF30" s="90">
        <f t="shared" si="13"/>
        <v>0</v>
      </c>
      <c r="EG30" s="90">
        <f t="shared" si="13"/>
        <v>0</v>
      </c>
      <c r="EH30" s="91">
        <f t="shared" si="13"/>
        <v>0</v>
      </c>
      <c r="EI30" s="88">
        <f t="shared" si="13"/>
        <v>0</v>
      </c>
      <c r="EJ30" s="89">
        <f t="shared" si="13"/>
        <v>0</v>
      </c>
      <c r="EK30" s="89">
        <f t="shared" si="13"/>
        <v>0</v>
      </c>
      <c r="EL30" s="89">
        <f t="shared" si="13"/>
        <v>0</v>
      </c>
      <c r="EM30" s="90">
        <f t="shared" si="13"/>
        <v>0</v>
      </c>
      <c r="EN30" s="90">
        <f t="shared" si="13"/>
        <v>0</v>
      </c>
      <c r="EO30" s="90">
        <f t="shared" si="13"/>
        <v>0</v>
      </c>
      <c r="EP30" s="90">
        <f t="shared" si="13"/>
        <v>0</v>
      </c>
      <c r="EQ30" s="90">
        <f t="shared" si="13"/>
        <v>0</v>
      </c>
      <c r="ER30" s="90">
        <f t="shared" si="13"/>
        <v>0</v>
      </c>
      <c r="ES30" s="90">
        <f t="shared" si="13"/>
        <v>0</v>
      </c>
      <c r="ET30" s="90">
        <f t="shared" si="13"/>
        <v>0</v>
      </c>
      <c r="EU30" s="90">
        <f t="shared" si="13"/>
        <v>0</v>
      </c>
      <c r="EV30" s="90">
        <f t="shared" si="13"/>
        <v>0</v>
      </c>
      <c r="EW30" s="90">
        <f t="shared" si="13"/>
        <v>0</v>
      </c>
      <c r="EX30" s="90">
        <f t="shared" si="13"/>
        <v>0</v>
      </c>
      <c r="EY30" s="90">
        <f t="shared" si="13"/>
        <v>0</v>
      </c>
      <c r="EZ30" s="91">
        <f t="shared" si="13"/>
        <v>0</v>
      </c>
    </row>
    <row r="31" spans="1:156">
      <c r="A31" s="11"/>
      <c r="B31" s="71" t="s">
        <v>49</v>
      </c>
      <c r="C31" s="72" t="s">
        <v>50</v>
      </c>
      <c r="D31" s="73"/>
      <c r="E31" s="73"/>
      <c r="F31" s="74"/>
      <c r="G31" s="75">
        <f>SUM(H31:AD31)</f>
        <v>127278.87</v>
      </c>
      <c r="H31" s="76">
        <f t="shared" ref="H31:W33" si="14">SUM(AE31,AW31,BO31,CG31,CY31,DQ31,EI31)</f>
        <v>49116.17</v>
      </c>
      <c r="I31" s="77">
        <f t="shared" si="14"/>
        <v>0</v>
      </c>
      <c r="J31" s="77">
        <f t="shared" si="14"/>
        <v>0</v>
      </c>
      <c r="K31" s="77">
        <f t="shared" si="14"/>
        <v>0</v>
      </c>
      <c r="L31" s="78">
        <f t="shared" si="14"/>
        <v>0</v>
      </c>
      <c r="M31" s="78">
        <f t="shared" si="14"/>
        <v>78162.7</v>
      </c>
      <c r="N31" s="78">
        <f t="shared" si="14"/>
        <v>0</v>
      </c>
      <c r="O31" s="78">
        <f t="shared" si="14"/>
        <v>0</v>
      </c>
      <c r="P31" s="78">
        <f t="shared" si="14"/>
        <v>0</v>
      </c>
      <c r="Q31" s="78">
        <f t="shared" si="14"/>
        <v>0</v>
      </c>
      <c r="R31" s="78">
        <f t="shared" si="14"/>
        <v>0</v>
      </c>
      <c r="S31" s="78">
        <f t="shared" si="14"/>
        <v>0</v>
      </c>
      <c r="T31" s="78">
        <f t="shared" si="14"/>
        <v>0</v>
      </c>
      <c r="U31" s="78">
        <f t="shared" si="14"/>
        <v>0</v>
      </c>
      <c r="V31" s="78">
        <f t="shared" si="14"/>
        <v>0</v>
      </c>
      <c r="W31" s="78">
        <f t="shared" si="14"/>
        <v>0</v>
      </c>
      <c r="X31" s="78">
        <f t="shared" ref="R31:Y33" si="15">SUM(AU31,BM31,CE31,CW31,DO31,EG31,EY31)</f>
        <v>0</v>
      </c>
      <c r="Y31" s="78">
        <f t="shared" si="15"/>
        <v>0</v>
      </c>
      <c r="Z31" s="79">
        <f>SIS064_F_Elektrosenergi9Elektrosenergi5</f>
        <v>0</v>
      </c>
      <c r="AA31" s="79">
        <f>SUM(SIS062_F_Elektrosenergi4Geriamojovande1,SIS063_F_Elektrosenergi4Geriamojovande1,SIS065_F_Elektrosenergi4Geriamojovande1)</f>
        <v>0</v>
      </c>
      <c r="AB31" s="79">
        <f>SUM(SIS062_F_Elektrosenergi4Paslaugaproduk8,SIS063_F_Elektrosenergi4Paslaugaproduk8,SIS065_F_Elektrosenergi4Paslaugaproduk8)</f>
        <v>0</v>
      </c>
      <c r="AC31" s="79">
        <f>SIS064_F_Elektrosenergi9Elektrosenergi6</f>
        <v>0</v>
      </c>
      <c r="AD31" s="79">
        <f>SUM(SIS062_F_Elektrosenergi4Paslaugaproduk9,SIS063_F_Elektrosenergi4Paslaugaproduk9,SIS065_F_Elektrosenergi4Paslaugaproduk9)</f>
        <v>0</v>
      </c>
      <c r="AE31" s="80">
        <v>49116.17</v>
      </c>
      <c r="AF31" s="81">
        <v>0</v>
      </c>
      <c r="AG31" s="81">
        <v>0</v>
      </c>
      <c r="AH31" s="81">
        <v>0</v>
      </c>
      <c r="AI31" s="82">
        <v>0</v>
      </c>
      <c r="AJ31" s="82">
        <v>78162.7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3">
        <v>0</v>
      </c>
      <c r="AW31" s="80"/>
      <c r="AX31" s="81"/>
      <c r="AY31" s="81"/>
      <c r="AZ31" s="81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3"/>
      <c r="BO31" s="80"/>
      <c r="BP31" s="81"/>
      <c r="BQ31" s="81"/>
      <c r="BR31" s="81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3"/>
      <c r="CG31" s="80"/>
      <c r="CH31" s="81"/>
      <c r="CI31" s="81"/>
      <c r="CJ31" s="81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3"/>
      <c r="CY31" s="80"/>
      <c r="CZ31" s="81"/>
      <c r="DA31" s="81"/>
      <c r="DB31" s="81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3"/>
      <c r="DQ31" s="80"/>
      <c r="DR31" s="81"/>
      <c r="DS31" s="81"/>
      <c r="DT31" s="81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3"/>
      <c r="EI31" s="80"/>
      <c r="EJ31" s="81"/>
      <c r="EK31" s="81"/>
      <c r="EL31" s="81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3"/>
    </row>
    <row r="32" spans="1:156">
      <c r="A32" s="11"/>
      <c r="B32" s="71" t="s">
        <v>51</v>
      </c>
      <c r="C32" s="98" t="s">
        <v>52</v>
      </c>
      <c r="D32" s="98"/>
      <c r="E32" s="98"/>
      <c r="F32" s="99"/>
      <c r="G32" s="75">
        <f>SUM(H32:AD32)</f>
        <v>0</v>
      </c>
      <c r="H32" s="76">
        <f t="shared" si="14"/>
        <v>0</v>
      </c>
      <c r="I32" s="77">
        <f t="shared" si="14"/>
        <v>0</v>
      </c>
      <c r="J32" s="77">
        <f t="shared" si="14"/>
        <v>0</v>
      </c>
      <c r="K32" s="77">
        <f t="shared" si="14"/>
        <v>0</v>
      </c>
      <c r="L32" s="78">
        <f t="shared" si="14"/>
        <v>0</v>
      </c>
      <c r="M32" s="78">
        <f t="shared" si="14"/>
        <v>0</v>
      </c>
      <c r="N32" s="78">
        <f t="shared" si="14"/>
        <v>0</v>
      </c>
      <c r="O32" s="78">
        <f t="shared" si="14"/>
        <v>0</v>
      </c>
      <c r="P32" s="78">
        <f t="shared" si="14"/>
        <v>0</v>
      </c>
      <c r="Q32" s="78">
        <f t="shared" si="14"/>
        <v>0</v>
      </c>
      <c r="R32" s="78">
        <f t="shared" si="15"/>
        <v>0</v>
      </c>
      <c r="S32" s="78">
        <f t="shared" si="15"/>
        <v>0</v>
      </c>
      <c r="T32" s="78">
        <f t="shared" si="15"/>
        <v>0</v>
      </c>
      <c r="U32" s="78">
        <f t="shared" si="15"/>
        <v>0</v>
      </c>
      <c r="V32" s="78">
        <f t="shared" si="15"/>
        <v>0</v>
      </c>
      <c r="W32" s="78">
        <f t="shared" si="15"/>
        <v>0</v>
      </c>
      <c r="X32" s="78">
        <f t="shared" si="15"/>
        <v>0</v>
      </c>
      <c r="Y32" s="78">
        <f t="shared" si="15"/>
        <v>0</v>
      </c>
      <c r="Z32" s="79">
        <v>0</v>
      </c>
      <c r="AA32" s="79">
        <f>SIS064_F_Isviso3Geriamojovande1</f>
        <v>0</v>
      </c>
      <c r="AB32" s="79">
        <f>SIS064_F_Isviso3Paslaugaproduk8</f>
        <v>0</v>
      </c>
      <c r="AC32" s="79">
        <v>0</v>
      </c>
      <c r="AD32" s="79">
        <f>SIS064_F_Isviso3Paslaugaproduk9</f>
        <v>0</v>
      </c>
      <c r="AE32" s="80">
        <v>0</v>
      </c>
      <c r="AF32" s="81">
        <v>0</v>
      </c>
      <c r="AG32" s="81">
        <v>0</v>
      </c>
      <c r="AH32" s="81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3">
        <v>0</v>
      </c>
      <c r="AW32" s="80"/>
      <c r="AX32" s="81"/>
      <c r="AY32" s="81"/>
      <c r="AZ32" s="81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3"/>
      <c r="BO32" s="80"/>
      <c r="BP32" s="81"/>
      <c r="BQ32" s="81"/>
      <c r="BR32" s="81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3"/>
      <c r="CG32" s="80"/>
      <c r="CH32" s="81"/>
      <c r="CI32" s="81"/>
      <c r="CJ32" s="81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3"/>
      <c r="CY32" s="80"/>
      <c r="CZ32" s="81"/>
      <c r="DA32" s="81"/>
      <c r="DB32" s="81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3"/>
      <c r="DQ32" s="80"/>
      <c r="DR32" s="81"/>
      <c r="DS32" s="81"/>
      <c r="DT32" s="81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3"/>
      <c r="EI32" s="80"/>
      <c r="EJ32" s="81"/>
      <c r="EK32" s="81"/>
      <c r="EL32" s="81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3"/>
    </row>
    <row r="33" spans="1:156">
      <c r="A33" s="11"/>
      <c r="B33" s="71" t="s">
        <v>53</v>
      </c>
      <c r="C33" s="72" t="str">
        <f>SIS055_D_Kitossanaudoss3</f>
        <v>Kitos sąnaudos, susijusios su elektros energijos TR įsigijimu (nurodyti)</v>
      </c>
      <c r="D33" s="73"/>
      <c r="E33" s="73"/>
      <c r="F33" s="74"/>
      <c r="G33" s="75">
        <f>SUM(H33:AD33)</f>
        <v>0</v>
      </c>
      <c r="H33" s="76">
        <f t="shared" si="14"/>
        <v>0</v>
      </c>
      <c r="I33" s="77">
        <f t="shared" si="14"/>
        <v>0</v>
      </c>
      <c r="J33" s="77">
        <f t="shared" si="14"/>
        <v>0</v>
      </c>
      <c r="K33" s="77">
        <f t="shared" si="14"/>
        <v>0</v>
      </c>
      <c r="L33" s="78">
        <f t="shared" si="14"/>
        <v>0</v>
      </c>
      <c r="M33" s="78">
        <f t="shared" si="14"/>
        <v>0</v>
      </c>
      <c r="N33" s="78">
        <f t="shared" si="14"/>
        <v>0</v>
      </c>
      <c r="O33" s="78">
        <f t="shared" si="14"/>
        <v>0</v>
      </c>
      <c r="P33" s="78">
        <f t="shared" si="14"/>
        <v>0</v>
      </c>
      <c r="Q33" s="78">
        <f t="shared" si="14"/>
        <v>0</v>
      </c>
      <c r="R33" s="78">
        <f t="shared" si="15"/>
        <v>0</v>
      </c>
      <c r="S33" s="78">
        <f t="shared" si="15"/>
        <v>0</v>
      </c>
      <c r="T33" s="78">
        <f t="shared" si="15"/>
        <v>0</v>
      </c>
      <c r="U33" s="78">
        <f t="shared" si="15"/>
        <v>0</v>
      </c>
      <c r="V33" s="78">
        <f t="shared" si="15"/>
        <v>0</v>
      </c>
      <c r="W33" s="78">
        <f t="shared" si="15"/>
        <v>0</v>
      </c>
      <c r="X33" s="78">
        <f t="shared" si="15"/>
        <v>0</v>
      </c>
      <c r="Y33" s="78">
        <f t="shared" si="15"/>
        <v>0</v>
      </c>
      <c r="Z33" s="79">
        <f>SIS064_F_Kitossanaudoss3Elektrosenergi5</f>
        <v>0</v>
      </c>
      <c r="AA33" s="79">
        <f>SUM(SIS062_F_Kitossanaudoss3Geriamojovande1,SIS063_F_Kitossanaudoss3Geriamojovande1,SIS065_F_Kitossanaudoss3Geriamojovande1)</f>
        <v>0</v>
      </c>
      <c r="AB33" s="79">
        <f>SUM(SIS062_F_Kitossanaudoss3Paslaugaproduk8,SIS063_F_Kitossanaudoss3Paslaugaproduk8,SIS065_F_Kitossanaudoss3Paslaugaproduk8)</f>
        <v>0</v>
      </c>
      <c r="AC33" s="79">
        <f>SIS064_F_Kitossanaudoss3Elektrosenergi6</f>
        <v>0</v>
      </c>
      <c r="AD33" s="79">
        <f>SUM(SIS062_F_Kitossanaudoss3Paslaugaproduk9,SIS063_F_Kitossanaudoss3Paslaugaproduk9,SIS065_F_Kitossanaudoss3Paslaugaproduk9)</f>
        <v>0</v>
      </c>
      <c r="AE33" s="80">
        <v>0</v>
      </c>
      <c r="AF33" s="81">
        <v>0</v>
      </c>
      <c r="AG33" s="81">
        <v>0</v>
      </c>
      <c r="AH33" s="81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83">
        <v>0</v>
      </c>
      <c r="AW33" s="80"/>
      <c r="AX33" s="81"/>
      <c r="AY33" s="81"/>
      <c r="AZ33" s="81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3"/>
      <c r="BO33" s="80"/>
      <c r="BP33" s="81"/>
      <c r="BQ33" s="81"/>
      <c r="BR33" s="81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3"/>
      <c r="CG33" s="80"/>
      <c r="CH33" s="81"/>
      <c r="CI33" s="81"/>
      <c r="CJ33" s="81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3"/>
      <c r="CY33" s="80"/>
      <c r="CZ33" s="81"/>
      <c r="DA33" s="81"/>
      <c r="DB33" s="81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3"/>
      <c r="DQ33" s="80"/>
      <c r="DR33" s="81"/>
      <c r="DS33" s="81"/>
      <c r="DT33" s="81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3"/>
      <c r="EI33" s="80"/>
      <c r="EJ33" s="81"/>
      <c r="EK33" s="81"/>
      <c r="EL33" s="81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3"/>
    </row>
    <row r="34" spans="1:156">
      <c r="A34" s="11"/>
      <c r="B34" s="84" t="s">
        <v>54</v>
      </c>
      <c r="C34" s="95" t="s">
        <v>55</v>
      </c>
      <c r="D34" s="96"/>
      <c r="E34" s="96"/>
      <c r="F34" s="97"/>
      <c r="G34" s="75">
        <f t="shared" ref="G34:AD34" si="16">SUM(G35:G37)</f>
        <v>129500.14</v>
      </c>
      <c r="H34" s="88">
        <f t="shared" si="16"/>
        <v>2001.0999999999997</v>
      </c>
      <c r="I34" s="89">
        <f t="shared" si="16"/>
        <v>0</v>
      </c>
      <c r="J34" s="89">
        <f t="shared" si="16"/>
        <v>0</v>
      </c>
      <c r="K34" s="89">
        <f t="shared" si="16"/>
        <v>0</v>
      </c>
      <c r="L34" s="90">
        <f t="shared" si="16"/>
        <v>0</v>
      </c>
      <c r="M34" s="90">
        <f t="shared" si="16"/>
        <v>134.47999999999999</v>
      </c>
      <c r="N34" s="90">
        <f t="shared" si="16"/>
        <v>0</v>
      </c>
      <c r="O34" s="90">
        <f t="shared" si="16"/>
        <v>0</v>
      </c>
      <c r="P34" s="90">
        <f t="shared" si="16"/>
        <v>0</v>
      </c>
      <c r="Q34" s="90">
        <f t="shared" si="16"/>
        <v>127364.56</v>
      </c>
      <c r="R34" s="90">
        <f t="shared" si="16"/>
        <v>0</v>
      </c>
      <c r="S34" s="90">
        <f t="shared" si="16"/>
        <v>0</v>
      </c>
      <c r="T34" s="90">
        <f t="shared" si="16"/>
        <v>0</v>
      </c>
      <c r="U34" s="90">
        <f t="shared" si="16"/>
        <v>0</v>
      </c>
      <c r="V34" s="90">
        <f t="shared" si="16"/>
        <v>0</v>
      </c>
      <c r="W34" s="90">
        <f t="shared" si="16"/>
        <v>0</v>
      </c>
      <c r="X34" s="90">
        <f t="shared" si="16"/>
        <v>0</v>
      </c>
      <c r="Y34" s="90">
        <f t="shared" si="16"/>
        <v>0</v>
      </c>
      <c r="Z34" s="90">
        <f t="shared" si="16"/>
        <v>0</v>
      </c>
      <c r="AA34" s="90">
        <f t="shared" si="16"/>
        <v>0</v>
      </c>
      <c r="AB34" s="90">
        <f t="shared" si="16"/>
        <v>0</v>
      </c>
      <c r="AC34" s="90">
        <f t="shared" si="16"/>
        <v>0</v>
      </c>
      <c r="AD34" s="90">
        <f t="shared" si="16"/>
        <v>0</v>
      </c>
      <c r="AE34" s="88">
        <f t="shared" ref="AE34:CP34" si="17">SUM(AE35:AE37)</f>
        <v>2001.0999999999997</v>
      </c>
      <c r="AF34" s="89">
        <f t="shared" si="17"/>
        <v>0</v>
      </c>
      <c r="AG34" s="89">
        <f t="shared" si="17"/>
        <v>0</v>
      </c>
      <c r="AH34" s="89">
        <f t="shared" si="17"/>
        <v>0</v>
      </c>
      <c r="AI34" s="90">
        <f t="shared" si="17"/>
        <v>0</v>
      </c>
      <c r="AJ34" s="90">
        <f t="shared" si="17"/>
        <v>134.47999999999999</v>
      </c>
      <c r="AK34" s="90">
        <f t="shared" si="17"/>
        <v>0</v>
      </c>
      <c r="AL34" s="90">
        <f t="shared" si="17"/>
        <v>0</v>
      </c>
      <c r="AM34" s="90">
        <f t="shared" si="17"/>
        <v>0</v>
      </c>
      <c r="AN34" s="90">
        <f t="shared" si="17"/>
        <v>127364.56</v>
      </c>
      <c r="AO34" s="90">
        <f t="shared" si="17"/>
        <v>0</v>
      </c>
      <c r="AP34" s="90">
        <f t="shared" si="17"/>
        <v>0</v>
      </c>
      <c r="AQ34" s="90">
        <f t="shared" si="17"/>
        <v>0</v>
      </c>
      <c r="AR34" s="90">
        <f t="shared" si="17"/>
        <v>0</v>
      </c>
      <c r="AS34" s="90">
        <f t="shared" si="17"/>
        <v>0</v>
      </c>
      <c r="AT34" s="90">
        <f t="shared" si="17"/>
        <v>0</v>
      </c>
      <c r="AU34" s="90">
        <f t="shared" si="17"/>
        <v>0</v>
      </c>
      <c r="AV34" s="91">
        <f t="shared" si="17"/>
        <v>0</v>
      </c>
      <c r="AW34" s="88">
        <f t="shared" si="17"/>
        <v>0</v>
      </c>
      <c r="AX34" s="89">
        <f t="shared" si="17"/>
        <v>0</v>
      </c>
      <c r="AY34" s="89">
        <f t="shared" si="17"/>
        <v>0</v>
      </c>
      <c r="AZ34" s="89">
        <f t="shared" si="17"/>
        <v>0</v>
      </c>
      <c r="BA34" s="90">
        <f t="shared" si="17"/>
        <v>0</v>
      </c>
      <c r="BB34" s="90">
        <f t="shared" si="17"/>
        <v>0</v>
      </c>
      <c r="BC34" s="90">
        <f t="shared" si="17"/>
        <v>0</v>
      </c>
      <c r="BD34" s="90">
        <f t="shared" si="17"/>
        <v>0</v>
      </c>
      <c r="BE34" s="90">
        <f t="shared" si="17"/>
        <v>0</v>
      </c>
      <c r="BF34" s="90">
        <f t="shared" si="17"/>
        <v>0</v>
      </c>
      <c r="BG34" s="90">
        <f t="shared" si="17"/>
        <v>0</v>
      </c>
      <c r="BH34" s="90">
        <f t="shared" si="17"/>
        <v>0</v>
      </c>
      <c r="BI34" s="90">
        <f t="shared" si="17"/>
        <v>0</v>
      </c>
      <c r="BJ34" s="90">
        <f t="shared" si="17"/>
        <v>0</v>
      </c>
      <c r="BK34" s="90">
        <f t="shared" si="17"/>
        <v>0</v>
      </c>
      <c r="BL34" s="90">
        <f t="shared" si="17"/>
        <v>0</v>
      </c>
      <c r="BM34" s="90">
        <f t="shared" si="17"/>
        <v>0</v>
      </c>
      <c r="BN34" s="91">
        <f t="shared" si="17"/>
        <v>0</v>
      </c>
      <c r="BO34" s="88">
        <f t="shared" si="17"/>
        <v>0</v>
      </c>
      <c r="BP34" s="89">
        <f t="shared" si="17"/>
        <v>0</v>
      </c>
      <c r="BQ34" s="89">
        <f t="shared" si="17"/>
        <v>0</v>
      </c>
      <c r="BR34" s="89">
        <f t="shared" si="17"/>
        <v>0</v>
      </c>
      <c r="BS34" s="90">
        <f t="shared" si="17"/>
        <v>0</v>
      </c>
      <c r="BT34" s="90">
        <f t="shared" si="17"/>
        <v>0</v>
      </c>
      <c r="BU34" s="90">
        <f t="shared" si="17"/>
        <v>0</v>
      </c>
      <c r="BV34" s="90">
        <f t="shared" si="17"/>
        <v>0</v>
      </c>
      <c r="BW34" s="90">
        <f t="shared" si="17"/>
        <v>0</v>
      </c>
      <c r="BX34" s="90">
        <f t="shared" si="17"/>
        <v>0</v>
      </c>
      <c r="BY34" s="90">
        <f t="shared" si="17"/>
        <v>0</v>
      </c>
      <c r="BZ34" s="90">
        <f t="shared" si="17"/>
        <v>0</v>
      </c>
      <c r="CA34" s="90">
        <f t="shared" si="17"/>
        <v>0</v>
      </c>
      <c r="CB34" s="90">
        <f t="shared" si="17"/>
        <v>0</v>
      </c>
      <c r="CC34" s="90">
        <f t="shared" si="17"/>
        <v>0</v>
      </c>
      <c r="CD34" s="90">
        <f t="shared" si="17"/>
        <v>0</v>
      </c>
      <c r="CE34" s="90">
        <f t="shared" si="17"/>
        <v>0</v>
      </c>
      <c r="CF34" s="91">
        <f t="shared" si="17"/>
        <v>0</v>
      </c>
      <c r="CG34" s="88">
        <f t="shared" si="17"/>
        <v>0</v>
      </c>
      <c r="CH34" s="89">
        <f t="shared" si="17"/>
        <v>0</v>
      </c>
      <c r="CI34" s="89">
        <f t="shared" si="17"/>
        <v>0</v>
      </c>
      <c r="CJ34" s="89">
        <f t="shared" si="17"/>
        <v>0</v>
      </c>
      <c r="CK34" s="90">
        <f t="shared" si="17"/>
        <v>0</v>
      </c>
      <c r="CL34" s="90">
        <f t="shared" si="17"/>
        <v>0</v>
      </c>
      <c r="CM34" s="90">
        <f t="shared" si="17"/>
        <v>0</v>
      </c>
      <c r="CN34" s="90">
        <f t="shared" si="17"/>
        <v>0</v>
      </c>
      <c r="CO34" s="90">
        <f t="shared" si="17"/>
        <v>0</v>
      </c>
      <c r="CP34" s="90">
        <f t="shared" si="17"/>
        <v>0</v>
      </c>
      <c r="CQ34" s="90">
        <f t="shared" ref="CQ34:EZ34" si="18">SUM(CQ35:CQ37)</f>
        <v>0</v>
      </c>
      <c r="CR34" s="90">
        <f t="shared" si="18"/>
        <v>0</v>
      </c>
      <c r="CS34" s="90">
        <f t="shared" si="18"/>
        <v>0</v>
      </c>
      <c r="CT34" s="90">
        <f t="shared" si="18"/>
        <v>0</v>
      </c>
      <c r="CU34" s="90">
        <f t="shared" si="18"/>
        <v>0</v>
      </c>
      <c r="CV34" s="90">
        <f t="shared" si="18"/>
        <v>0</v>
      </c>
      <c r="CW34" s="90">
        <f t="shared" si="18"/>
        <v>0</v>
      </c>
      <c r="CX34" s="91">
        <f t="shared" si="18"/>
        <v>0</v>
      </c>
      <c r="CY34" s="88">
        <f t="shared" si="18"/>
        <v>0</v>
      </c>
      <c r="CZ34" s="89">
        <f t="shared" si="18"/>
        <v>0</v>
      </c>
      <c r="DA34" s="89">
        <f t="shared" si="18"/>
        <v>0</v>
      </c>
      <c r="DB34" s="89">
        <f t="shared" si="18"/>
        <v>0</v>
      </c>
      <c r="DC34" s="90">
        <f t="shared" si="18"/>
        <v>0</v>
      </c>
      <c r="DD34" s="90">
        <f t="shared" si="18"/>
        <v>0</v>
      </c>
      <c r="DE34" s="90">
        <f t="shared" si="18"/>
        <v>0</v>
      </c>
      <c r="DF34" s="90">
        <f t="shared" si="18"/>
        <v>0</v>
      </c>
      <c r="DG34" s="90">
        <f t="shared" si="18"/>
        <v>0</v>
      </c>
      <c r="DH34" s="90">
        <f t="shared" si="18"/>
        <v>0</v>
      </c>
      <c r="DI34" s="90">
        <f t="shared" si="18"/>
        <v>0</v>
      </c>
      <c r="DJ34" s="90">
        <f t="shared" si="18"/>
        <v>0</v>
      </c>
      <c r="DK34" s="90">
        <f t="shared" si="18"/>
        <v>0</v>
      </c>
      <c r="DL34" s="90">
        <f t="shared" si="18"/>
        <v>0</v>
      </c>
      <c r="DM34" s="90">
        <f t="shared" si="18"/>
        <v>0</v>
      </c>
      <c r="DN34" s="90">
        <f t="shared" si="18"/>
        <v>0</v>
      </c>
      <c r="DO34" s="90">
        <f t="shared" si="18"/>
        <v>0</v>
      </c>
      <c r="DP34" s="91">
        <f t="shared" si="18"/>
        <v>0</v>
      </c>
      <c r="DQ34" s="88">
        <f t="shared" si="18"/>
        <v>0</v>
      </c>
      <c r="DR34" s="89">
        <f t="shared" si="18"/>
        <v>0</v>
      </c>
      <c r="DS34" s="89">
        <f t="shared" si="18"/>
        <v>0</v>
      </c>
      <c r="DT34" s="89">
        <f t="shared" si="18"/>
        <v>0</v>
      </c>
      <c r="DU34" s="90">
        <f t="shared" si="18"/>
        <v>0</v>
      </c>
      <c r="DV34" s="90">
        <f t="shared" si="18"/>
        <v>0</v>
      </c>
      <c r="DW34" s="90">
        <f t="shared" si="18"/>
        <v>0</v>
      </c>
      <c r="DX34" s="90">
        <f t="shared" si="18"/>
        <v>0</v>
      </c>
      <c r="DY34" s="90">
        <f t="shared" si="18"/>
        <v>0</v>
      </c>
      <c r="DZ34" s="90">
        <f t="shared" si="18"/>
        <v>0</v>
      </c>
      <c r="EA34" s="90">
        <f t="shared" si="18"/>
        <v>0</v>
      </c>
      <c r="EB34" s="90">
        <f t="shared" si="18"/>
        <v>0</v>
      </c>
      <c r="EC34" s="90">
        <f t="shared" si="18"/>
        <v>0</v>
      </c>
      <c r="ED34" s="90">
        <f t="shared" si="18"/>
        <v>0</v>
      </c>
      <c r="EE34" s="90">
        <f t="shared" si="18"/>
        <v>0</v>
      </c>
      <c r="EF34" s="90">
        <f t="shared" si="18"/>
        <v>0</v>
      </c>
      <c r="EG34" s="90">
        <f t="shared" si="18"/>
        <v>0</v>
      </c>
      <c r="EH34" s="91">
        <f t="shared" si="18"/>
        <v>0</v>
      </c>
      <c r="EI34" s="88">
        <f t="shared" si="18"/>
        <v>0</v>
      </c>
      <c r="EJ34" s="89">
        <f t="shared" si="18"/>
        <v>0</v>
      </c>
      <c r="EK34" s="89">
        <f t="shared" si="18"/>
        <v>0</v>
      </c>
      <c r="EL34" s="89">
        <f t="shared" si="18"/>
        <v>0</v>
      </c>
      <c r="EM34" s="90">
        <f t="shared" si="18"/>
        <v>0</v>
      </c>
      <c r="EN34" s="90">
        <f t="shared" si="18"/>
        <v>0</v>
      </c>
      <c r="EO34" s="90">
        <f t="shared" si="18"/>
        <v>0</v>
      </c>
      <c r="EP34" s="90">
        <f t="shared" si="18"/>
        <v>0</v>
      </c>
      <c r="EQ34" s="90">
        <f t="shared" si="18"/>
        <v>0</v>
      </c>
      <c r="ER34" s="90">
        <f t="shared" si="18"/>
        <v>0</v>
      </c>
      <c r="ES34" s="90">
        <f t="shared" si="18"/>
        <v>0</v>
      </c>
      <c r="ET34" s="90">
        <f t="shared" si="18"/>
        <v>0</v>
      </c>
      <c r="EU34" s="90">
        <f t="shared" si="18"/>
        <v>0</v>
      </c>
      <c r="EV34" s="90">
        <f t="shared" si="18"/>
        <v>0</v>
      </c>
      <c r="EW34" s="90">
        <f t="shared" si="18"/>
        <v>0</v>
      </c>
      <c r="EX34" s="90">
        <f t="shared" si="18"/>
        <v>0</v>
      </c>
      <c r="EY34" s="90">
        <f t="shared" si="18"/>
        <v>0</v>
      </c>
      <c r="EZ34" s="91">
        <f t="shared" si="18"/>
        <v>0</v>
      </c>
    </row>
    <row r="35" spans="1:156">
      <c r="A35" s="11"/>
      <c r="B35" s="71" t="s">
        <v>56</v>
      </c>
      <c r="C35" s="92" t="s">
        <v>57</v>
      </c>
      <c r="D35" s="93"/>
      <c r="E35" s="93"/>
      <c r="F35" s="94"/>
      <c r="G35" s="75">
        <f>SUM(H35:AD35)</f>
        <v>2135.5799999999995</v>
      </c>
      <c r="H35" s="76">
        <f t="shared" ref="H35:W37" si="19">SUM(AE35,AW35,BO35,CG35,CY35,DQ35,EI35)</f>
        <v>2001.0999999999997</v>
      </c>
      <c r="I35" s="77">
        <f t="shared" si="19"/>
        <v>0</v>
      </c>
      <c r="J35" s="77">
        <f t="shared" si="19"/>
        <v>0</v>
      </c>
      <c r="K35" s="77">
        <f t="shared" si="19"/>
        <v>0</v>
      </c>
      <c r="L35" s="78">
        <f t="shared" si="19"/>
        <v>0</v>
      </c>
      <c r="M35" s="78">
        <f t="shared" si="19"/>
        <v>134.47999999999999</v>
      </c>
      <c r="N35" s="78">
        <f t="shared" si="19"/>
        <v>0</v>
      </c>
      <c r="O35" s="78">
        <f t="shared" si="19"/>
        <v>0</v>
      </c>
      <c r="P35" s="78">
        <f t="shared" si="19"/>
        <v>0</v>
      </c>
      <c r="Q35" s="78">
        <f t="shared" si="19"/>
        <v>0</v>
      </c>
      <c r="R35" s="78">
        <f t="shared" si="19"/>
        <v>0</v>
      </c>
      <c r="S35" s="78">
        <f t="shared" si="19"/>
        <v>0</v>
      </c>
      <c r="T35" s="78">
        <f t="shared" si="19"/>
        <v>0</v>
      </c>
      <c r="U35" s="78">
        <f t="shared" si="19"/>
        <v>0</v>
      </c>
      <c r="V35" s="78">
        <f t="shared" si="19"/>
        <v>0</v>
      </c>
      <c r="W35" s="78">
        <f t="shared" si="19"/>
        <v>0</v>
      </c>
      <c r="X35" s="78">
        <f t="shared" ref="R35:Y37" si="20">SUM(AU35,BM35,CE35,CW35,DO35,EG35,EY35)</f>
        <v>0</v>
      </c>
      <c r="Y35" s="78">
        <f t="shared" si="20"/>
        <v>0</v>
      </c>
      <c r="Z35" s="79">
        <f>SIS064_F_Vandenstechnol2Elektrosenergi5</f>
        <v>0</v>
      </c>
      <c r="AA35" s="79">
        <f>SUM(SIS062_F_Vandenstechnol2Geriamojovande1,SIS063_F_Vandenstechnol2Geriamojovande1,SIS065_F_Vandenstechnol2Geriamojovande1)</f>
        <v>0</v>
      </c>
      <c r="AB35" s="79">
        <f>SUM(SIS062_F_Vandenstechnol2Paslaugaproduk8,SIS063_F_Vandenstechnol2Paslaugaproduk8,SIS065_F_Vandenstechnol2Paslaugaproduk8)</f>
        <v>0</v>
      </c>
      <c r="AC35" s="79">
        <f>SIS064_F_Vandenstechnol2Elektrosenergi6</f>
        <v>0</v>
      </c>
      <c r="AD35" s="79">
        <f>SUM(SIS062_F_Vandenstechnol2Paslaugaproduk9,SIS063_F_Vandenstechnol2Paslaugaproduk9,SIS065_F_Vandenstechnol2Paslaugaproduk9)</f>
        <v>0</v>
      </c>
      <c r="AE35" s="80">
        <v>2001.0999999999997</v>
      </c>
      <c r="AF35" s="81">
        <v>0</v>
      </c>
      <c r="AG35" s="81">
        <v>0</v>
      </c>
      <c r="AH35" s="81">
        <v>0</v>
      </c>
      <c r="AI35" s="82">
        <v>0</v>
      </c>
      <c r="AJ35" s="82">
        <v>134.47999999999999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3">
        <v>0</v>
      </c>
      <c r="AW35" s="80"/>
      <c r="AX35" s="81"/>
      <c r="AY35" s="81"/>
      <c r="AZ35" s="81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3"/>
      <c r="BO35" s="80"/>
      <c r="BP35" s="81"/>
      <c r="BQ35" s="81"/>
      <c r="BR35" s="81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3"/>
      <c r="CG35" s="80"/>
      <c r="CH35" s="81"/>
      <c r="CI35" s="81"/>
      <c r="CJ35" s="81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  <c r="CY35" s="80"/>
      <c r="CZ35" s="81"/>
      <c r="DA35" s="81"/>
      <c r="DB35" s="81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3"/>
      <c r="DQ35" s="80"/>
      <c r="DR35" s="81"/>
      <c r="DS35" s="81"/>
      <c r="DT35" s="81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3"/>
      <c r="EI35" s="80"/>
      <c r="EJ35" s="81"/>
      <c r="EK35" s="81"/>
      <c r="EL35" s="81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3"/>
    </row>
    <row r="36" spans="1:156">
      <c r="A36" s="11"/>
      <c r="B36" s="71" t="s">
        <v>58</v>
      </c>
      <c r="C36" s="98" t="s">
        <v>59</v>
      </c>
      <c r="D36" s="100"/>
      <c r="E36" s="100"/>
      <c r="F36" s="100"/>
      <c r="G36" s="75">
        <f>SUM(H36:AD36)</f>
        <v>0</v>
      </c>
      <c r="H36" s="76">
        <f t="shared" si="19"/>
        <v>0</v>
      </c>
      <c r="I36" s="77">
        <f t="shared" si="19"/>
        <v>0</v>
      </c>
      <c r="J36" s="77">
        <f t="shared" si="19"/>
        <v>0</v>
      </c>
      <c r="K36" s="77">
        <f t="shared" si="19"/>
        <v>0</v>
      </c>
      <c r="L36" s="78">
        <f t="shared" si="19"/>
        <v>0</v>
      </c>
      <c r="M36" s="78">
        <f t="shared" si="19"/>
        <v>0</v>
      </c>
      <c r="N36" s="78">
        <f t="shared" si="19"/>
        <v>0</v>
      </c>
      <c r="O36" s="78">
        <f t="shared" si="19"/>
        <v>0</v>
      </c>
      <c r="P36" s="78">
        <f t="shared" si="19"/>
        <v>0</v>
      </c>
      <c r="Q36" s="78">
        <f t="shared" si="19"/>
        <v>0</v>
      </c>
      <c r="R36" s="78">
        <f t="shared" si="20"/>
        <v>0</v>
      </c>
      <c r="S36" s="78">
        <f t="shared" si="20"/>
        <v>0</v>
      </c>
      <c r="T36" s="78">
        <f t="shared" si="20"/>
        <v>0</v>
      </c>
      <c r="U36" s="78">
        <f t="shared" si="20"/>
        <v>0</v>
      </c>
      <c r="V36" s="78">
        <f t="shared" si="20"/>
        <v>0</v>
      </c>
      <c r="W36" s="78">
        <f t="shared" si="20"/>
        <v>0</v>
      </c>
      <c r="X36" s="78">
        <f t="shared" si="20"/>
        <v>0</v>
      </c>
      <c r="Y36" s="78">
        <f t="shared" si="20"/>
        <v>0</v>
      </c>
      <c r="Z36" s="79">
        <f>SIS064_F_Nuotekutvarkym1Elektrosenergi5</f>
        <v>0</v>
      </c>
      <c r="AA36" s="79">
        <f>SUM(SIS062_F_Nuotekutvarkym1Geriamojovande1,SIS063_F_Nuotekutvarkym1Geriamojovande1,SIS065_F_Nuotekutvarkym1Geriamojovande1)</f>
        <v>0</v>
      </c>
      <c r="AB36" s="79">
        <f>SUM(SIS062_F_Nuotekutvarkym1Paslaugaproduk8,SIS063_F_Nuotekutvarkym1Paslaugaproduk8,SIS065_F_Nuotekutvarkym1Paslaugaproduk8)</f>
        <v>0</v>
      </c>
      <c r="AC36" s="79">
        <f>SIS064_F_Nuotekutvarkym1Elektrosenergi6</f>
        <v>0</v>
      </c>
      <c r="AD36" s="79">
        <f>SUM(SIS062_F_Nuotekutvarkym1Paslaugaproduk9,SIS063_F_Nuotekutvarkym1Paslaugaproduk9,SIS065_F_Nuotekutvarkym1Paslaugaproduk9)</f>
        <v>0</v>
      </c>
      <c r="AE36" s="80">
        <v>0</v>
      </c>
      <c r="AF36" s="81">
        <v>0</v>
      </c>
      <c r="AG36" s="81">
        <v>0</v>
      </c>
      <c r="AH36" s="81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3">
        <v>0</v>
      </c>
      <c r="AW36" s="80"/>
      <c r="AX36" s="81"/>
      <c r="AY36" s="81"/>
      <c r="AZ36" s="81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3"/>
      <c r="BO36" s="80"/>
      <c r="BP36" s="81"/>
      <c r="BQ36" s="81"/>
      <c r="BR36" s="81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3"/>
      <c r="CG36" s="80"/>
      <c r="CH36" s="81"/>
      <c r="CI36" s="81"/>
      <c r="CJ36" s="81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3"/>
      <c r="CY36" s="80"/>
      <c r="CZ36" s="81"/>
      <c r="DA36" s="81"/>
      <c r="DB36" s="81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3"/>
      <c r="DQ36" s="80"/>
      <c r="DR36" s="81"/>
      <c r="DS36" s="81"/>
      <c r="DT36" s="81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3"/>
      <c r="EI36" s="80"/>
      <c r="EJ36" s="81"/>
      <c r="EK36" s="81"/>
      <c r="EL36" s="81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3"/>
    </row>
    <row r="37" spans="1:156">
      <c r="A37" s="11"/>
      <c r="B37" s="71" t="s">
        <v>60</v>
      </c>
      <c r="C37" s="72" t="str">
        <f>SIS055_D_Kitossanaudoss4</f>
        <v>Kitos sąnaudos, susijusios su vandens TR įsigijimu (nurodyti)</v>
      </c>
      <c r="D37" s="73"/>
      <c r="E37" s="73"/>
      <c r="F37" s="74"/>
      <c r="G37" s="75">
        <f>SUM(H37:AD37)</f>
        <v>127364.56</v>
      </c>
      <c r="H37" s="76">
        <f t="shared" si="19"/>
        <v>0</v>
      </c>
      <c r="I37" s="77">
        <f t="shared" si="19"/>
        <v>0</v>
      </c>
      <c r="J37" s="77">
        <f t="shared" si="19"/>
        <v>0</v>
      </c>
      <c r="K37" s="77">
        <f t="shared" si="19"/>
        <v>0</v>
      </c>
      <c r="L37" s="78">
        <f t="shared" si="19"/>
        <v>0</v>
      </c>
      <c r="M37" s="78">
        <f t="shared" si="19"/>
        <v>0</v>
      </c>
      <c r="N37" s="78">
        <f t="shared" si="19"/>
        <v>0</v>
      </c>
      <c r="O37" s="78">
        <f t="shared" si="19"/>
        <v>0</v>
      </c>
      <c r="P37" s="78">
        <f t="shared" si="19"/>
        <v>0</v>
      </c>
      <c r="Q37" s="78">
        <f t="shared" si="19"/>
        <v>127364.56</v>
      </c>
      <c r="R37" s="78">
        <f t="shared" si="20"/>
        <v>0</v>
      </c>
      <c r="S37" s="78">
        <f t="shared" si="20"/>
        <v>0</v>
      </c>
      <c r="T37" s="78">
        <f t="shared" si="20"/>
        <v>0</v>
      </c>
      <c r="U37" s="78">
        <f t="shared" si="20"/>
        <v>0</v>
      </c>
      <c r="V37" s="78">
        <f t="shared" si="20"/>
        <v>0</v>
      </c>
      <c r="W37" s="78">
        <f t="shared" si="20"/>
        <v>0</v>
      </c>
      <c r="X37" s="78">
        <f t="shared" si="20"/>
        <v>0</v>
      </c>
      <c r="Y37" s="78">
        <f t="shared" si="20"/>
        <v>0</v>
      </c>
      <c r="Z37" s="79">
        <f>SIS064_F_Kitossanaudoss4Elektrosenergi5</f>
        <v>0</v>
      </c>
      <c r="AA37" s="79">
        <f>SUM(SIS062_F_Kitossanaudoss4Geriamojovande1,SIS063_F_Kitossanaudoss4Geriamojovande1,SIS065_F_Kitossanaudoss4Geriamojovande1)</f>
        <v>0</v>
      </c>
      <c r="AB37" s="79">
        <f>SUM(SIS062_F_Kitossanaudoss4Paslaugaproduk8,SIS063_F_Kitossanaudoss4Paslaugaproduk8,SIS065_F_Kitossanaudoss4Paslaugaproduk8)</f>
        <v>0</v>
      </c>
      <c r="AC37" s="79">
        <f>SIS064_F_Kitossanaudoss4Elektrosenergi6</f>
        <v>0</v>
      </c>
      <c r="AD37" s="79">
        <f>SUM(SIS062_F_Kitossanaudoss4Paslaugaproduk9,SIS063_F_Kitossanaudoss4Paslaugaproduk9,SIS065_F_Kitossanaudoss4Paslaugaproduk9)</f>
        <v>0</v>
      </c>
      <c r="AE37" s="80">
        <v>0</v>
      </c>
      <c r="AF37" s="81">
        <v>0</v>
      </c>
      <c r="AG37" s="81">
        <v>0</v>
      </c>
      <c r="AH37" s="81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127364.56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3">
        <v>0</v>
      </c>
      <c r="AW37" s="80"/>
      <c r="AX37" s="81"/>
      <c r="AY37" s="81"/>
      <c r="AZ37" s="81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3"/>
      <c r="BO37" s="80"/>
      <c r="BP37" s="81"/>
      <c r="BQ37" s="81"/>
      <c r="BR37" s="81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3"/>
      <c r="CG37" s="80"/>
      <c r="CH37" s="81"/>
      <c r="CI37" s="81"/>
      <c r="CJ37" s="81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3"/>
      <c r="CY37" s="80"/>
      <c r="CZ37" s="81"/>
      <c r="DA37" s="81"/>
      <c r="DB37" s="81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3"/>
      <c r="DQ37" s="80"/>
      <c r="DR37" s="81"/>
      <c r="DS37" s="81"/>
      <c r="DT37" s="81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3"/>
      <c r="EI37" s="80"/>
      <c r="EJ37" s="81"/>
      <c r="EK37" s="81"/>
      <c r="EL37" s="81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3"/>
    </row>
    <row r="38" spans="1:156">
      <c r="A38" s="11"/>
      <c r="B38" s="84" t="s">
        <v>61</v>
      </c>
      <c r="C38" s="85" t="s">
        <v>62</v>
      </c>
      <c r="D38" s="86"/>
      <c r="E38" s="86"/>
      <c r="F38" s="87"/>
      <c r="G38" s="101">
        <f t="shared" ref="G38:AD38" si="21">SUM(G39:G41)</f>
        <v>3429.52</v>
      </c>
      <c r="H38" s="88">
        <f t="shared" si="21"/>
        <v>0</v>
      </c>
      <c r="I38" s="89">
        <f t="shared" si="21"/>
        <v>0</v>
      </c>
      <c r="J38" s="89">
        <f t="shared" si="21"/>
        <v>0</v>
      </c>
      <c r="K38" s="89">
        <f t="shared" si="21"/>
        <v>0</v>
      </c>
      <c r="L38" s="90">
        <f t="shared" si="21"/>
        <v>0</v>
      </c>
      <c r="M38" s="90">
        <f t="shared" si="21"/>
        <v>0</v>
      </c>
      <c r="N38" s="90">
        <f t="shared" si="21"/>
        <v>0</v>
      </c>
      <c r="O38" s="90">
        <f t="shared" si="21"/>
        <v>0</v>
      </c>
      <c r="P38" s="90">
        <f t="shared" si="21"/>
        <v>0</v>
      </c>
      <c r="Q38" s="90">
        <f t="shared" si="21"/>
        <v>0</v>
      </c>
      <c r="R38" s="90">
        <f t="shared" si="21"/>
        <v>0</v>
      </c>
      <c r="S38" s="90">
        <f t="shared" si="21"/>
        <v>0</v>
      </c>
      <c r="T38" s="90">
        <f t="shared" si="21"/>
        <v>0</v>
      </c>
      <c r="U38" s="90">
        <f t="shared" si="21"/>
        <v>0</v>
      </c>
      <c r="V38" s="90">
        <f t="shared" si="21"/>
        <v>0</v>
      </c>
      <c r="W38" s="90">
        <f t="shared" si="21"/>
        <v>0</v>
      </c>
      <c r="X38" s="90">
        <f t="shared" si="21"/>
        <v>0</v>
      </c>
      <c r="Y38" s="90">
        <f t="shared" si="21"/>
        <v>3429.52</v>
      </c>
      <c r="Z38" s="90">
        <f t="shared" si="21"/>
        <v>0</v>
      </c>
      <c r="AA38" s="90">
        <f t="shared" si="21"/>
        <v>0</v>
      </c>
      <c r="AB38" s="90">
        <f t="shared" si="21"/>
        <v>0</v>
      </c>
      <c r="AC38" s="90">
        <f t="shared" si="21"/>
        <v>0</v>
      </c>
      <c r="AD38" s="90">
        <f t="shared" si="21"/>
        <v>0</v>
      </c>
      <c r="AE38" s="88">
        <f t="shared" ref="AE38:CP38" si="22">SUM(AE39:AE41)</f>
        <v>0</v>
      </c>
      <c r="AF38" s="89">
        <f t="shared" si="22"/>
        <v>0</v>
      </c>
      <c r="AG38" s="89">
        <f t="shared" si="22"/>
        <v>0</v>
      </c>
      <c r="AH38" s="89">
        <f t="shared" si="22"/>
        <v>0</v>
      </c>
      <c r="AI38" s="90">
        <f t="shared" si="22"/>
        <v>0</v>
      </c>
      <c r="AJ38" s="90">
        <f t="shared" si="22"/>
        <v>0</v>
      </c>
      <c r="AK38" s="90">
        <f t="shared" si="22"/>
        <v>0</v>
      </c>
      <c r="AL38" s="90">
        <f t="shared" si="22"/>
        <v>0</v>
      </c>
      <c r="AM38" s="90">
        <f t="shared" si="22"/>
        <v>0</v>
      </c>
      <c r="AN38" s="90">
        <f t="shared" si="22"/>
        <v>0</v>
      </c>
      <c r="AO38" s="90">
        <f t="shared" si="22"/>
        <v>0</v>
      </c>
      <c r="AP38" s="90">
        <f t="shared" si="22"/>
        <v>0</v>
      </c>
      <c r="AQ38" s="90">
        <f t="shared" si="22"/>
        <v>0</v>
      </c>
      <c r="AR38" s="90">
        <f t="shared" si="22"/>
        <v>0</v>
      </c>
      <c r="AS38" s="90">
        <f t="shared" si="22"/>
        <v>0</v>
      </c>
      <c r="AT38" s="90">
        <f t="shared" si="22"/>
        <v>0</v>
      </c>
      <c r="AU38" s="90">
        <f t="shared" si="22"/>
        <v>0</v>
      </c>
      <c r="AV38" s="91">
        <f t="shared" si="22"/>
        <v>3429.52</v>
      </c>
      <c r="AW38" s="88">
        <f t="shared" si="22"/>
        <v>0</v>
      </c>
      <c r="AX38" s="89">
        <f t="shared" si="22"/>
        <v>0</v>
      </c>
      <c r="AY38" s="89">
        <f t="shared" si="22"/>
        <v>0</v>
      </c>
      <c r="AZ38" s="89">
        <f t="shared" si="22"/>
        <v>0</v>
      </c>
      <c r="BA38" s="90">
        <f t="shared" si="22"/>
        <v>0</v>
      </c>
      <c r="BB38" s="90">
        <f t="shared" si="22"/>
        <v>0</v>
      </c>
      <c r="BC38" s="90">
        <f t="shared" si="22"/>
        <v>0</v>
      </c>
      <c r="BD38" s="90">
        <f t="shared" si="22"/>
        <v>0</v>
      </c>
      <c r="BE38" s="90">
        <f t="shared" si="22"/>
        <v>0</v>
      </c>
      <c r="BF38" s="90">
        <f t="shared" si="22"/>
        <v>0</v>
      </c>
      <c r="BG38" s="90">
        <f t="shared" si="22"/>
        <v>0</v>
      </c>
      <c r="BH38" s="90">
        <f t="shared" si="22"/>
        <v>0</v>
      </c>
      <c r="BI38" s="90">
        <f t="shared" si="22"/>
        <v>0</v>
      </c>
      <c r="BJ38" s="90">
        <f t="shared" si="22"/>
        <v>0</v>
      </c>
      <c r="BK38" s="90">
        <f t="shared" si="22"/>
        <v>0</v>
      </c>
      <c r="BL38" s="90">
        <f t="shared" si="22"/>
        <v>0</v>
      </c>
      <c r="BM38" s="90">
        <f t="shared" si="22"/>
        <v>0</v>
      </c>
      <c r="BN38" s="91">
        <f t="shared" si="22"/>
        <v>0</v>
      </c>
      <c r="BO38" s="88">
        <f t="shared" si="22"/>
        <v>0</v>
      </c>
      <c r="BP38" s="89">
        <f t="shared" si="22"/>
        <v>0</v>
      </c>
      <c r="BQ38" s="89">
        <f t="shared" si="22"/>
        <v>0</v>
      </c>
      <c r="BR38" s="89">
        <f t="shared" si="22"/>
        <v>0</v>
      </c>
      <c r="BS38" s="90">
        <f t="shared" si="22"/>
        <v>0</v>
      </c>
      <c r="BT38" s="90">
        <f t="shared" si="22"/>
        <v>0</v>
      </c>
      <c r="BU38" s="90">
        <f t="shared" si="22"/>
        <v>0</v>
      </c>
      <c r="BV38" s="90">
        <f t="shared" si="22"/>
        <v>0</v>
      </c>
      <c r="BW38" s="90">
        <f t="shared" si="22"/>
        <v>0</v>
      </c>
      <c r="BX38" s="90">
        <f t="shared" si="22"/>
        <v>0</v>
      </c>
      <c r="BY38" s="90">
        <f t="shared" si="22"/>
        <v>0</v>
      </c>
      <c r="BZ38" s="90">
        <f t="shared" si="22"/>
        <v>0</v>
      </c>
      <c r="CA38" s="90">
        <f t="shared" si="22"/>
        <v>0</v>
      </c>
      <c r="CB38" s="90">
        <f t="shared" si="22"/>
        <v>0</v>
      </c>
      <c r="CC38" s="90">
        <f t="shared" si="22"/>
        <v>0</v>
      </c>
      <c r="CD38" s="90">
        <f t="shared" si="22"/>
        <v>0</v>
      </c>
      <c r="CE38" s="90">
        <f t="shared" si="22"/>
        <v>0</v>
      </c>
      <c r="CF38" s="91">
        <f t="shared" si="22"/>
        <v>0</v>
      </c>
      <c r="CG38" s="88">
        <f t="shared" si="22"/>
        <v>0</v>
      </c>
      <c r="CH38" s="89">
        <f t="shared" si="22"/>
        <v>0</v>
      </c>
      <c r="CI38" s="89">
        <f t="shared" si="22"/>
        <v>0</v>
      </c>
      <c r="CJ38" s="89">
        <f t="shared" si="22"/>
        <v>0</v>
      </c>
      <c r="CK38" s="90">
        <f t="shared" si="22"/>
        <v>0</v>
      </c>
      <c r="CL38" s="90">
        <f t="shared" si="22"/>
        <v>0</v>
      </c>
      <c r="CM38" s="90">
        <f t="shared" si="22"/>
        <v>0</v>
      </c>
      <c r="CN38" s="90">
        <f t="shared" si="22"/>
        <v>0</v>
      </c>
      <c r="CO38" s="90">
        <f t="shared" si="22"/>
        <v>0</v>
      </c>
      <c r="CP38" s="90">
        <f t="shared" si="22"/>
        <v>0</v>
      </c>
      <c r="CQ38" s="90">
        <f t="shared" ref="CQ38:EZ38" si="23">SUM(CQ39:CQ41)</f>
        <v>0</v>
      </c>
      <c r="CR38" s="90">
        <f t="shared" si="23"/>
        <v>0</v>
      </c>
      <c r="CS38" s="90">
        <f t="shared" si="23"/>
        <v>0</v>
      </c>
      <c r="CT38" s="90">
        <f t="shared" si="23"/>
        <v>0</v>
      </c>
      <c r="CU38" s="90">
        <f t="shared" si="23"/>
        <v>0</v>
      </c>
      <c r="CV38" s="90">
        <f t="shared" si="23"/>
        <v>0</v>
      </c>
      <c r="CW38" s="90">
        <f t="shared" si="23"/>
        <v>0</v>
      </c>
      <c r="CX38" s="91">
        <f t="shared" si="23"/>
        <v>0</v>
      </c>
      <c r="CY38" s="88">
        <f t="shared" si="23"/>
        <v>0</v>
      </c>
      <c r="CZ38" s="89">
        <f t="shared" si="23"/>
        <v>0</v>
      </c>
      <c r="DA38" s="89">
        <f t="shared" si="23"/>
        <v>0</v>
      </c>
      <c r="DB38" s="89">
        <f t="shared" si="23"/>
        <v>0</v>
      </c>
      <c r="DC38" s="90">
        <f t="shared" si="23"/>
        <v>0</v>
      </c>
      <c r="DD38" s="90">
        <f t="shared" si="23"/>
        <v>0</v>
      </c>
      <c r="DE38" s="90">
        <f t="shared" si="23"/>
        <v>0</v>
      </c>
      <c r="DF38" s="90">
        <f t="shared" si="23"/>
        <v>0</v>
      </c>
      <c r="DG38" s="90">
        <f t="shared" si="23"/>
        <v>0</v>
      </c>
      <c r="DH38" s="90">
        <f t="shared" si="23"/>
        <v>0</v>
      </c>
      <c r="DI38" s="90">
        <f t="shared" si="23"/>
        <v>0</v>
      </c>
      <c r="DJ38" s="90">
        <f t="shared" si="23"/>
        <v>0</v>
      </c>
      <c r="DK38" s="90">
        <f t="shared" si="23"/>
        <v>0</v>
      </c>
      <c r="DL38" s="90">
        <f t="shared" si="23"/>
        <v>0</v>
      </c>
      <c r="DM38" s="90">
        <f t="shared" si="23"/>
        <v>0</v>
      </c>
      <c r="DN38" s="90">
        <f t="shared" si="23"/>
        <v>0</v>
      </c>
      <c r="DO38" s="90">
        <f t="shared" si="23"/>
        <v>0</v>
      </c>
      <c r="DP38" s="91">
        <f t="shared" si="23"/>
        <v>0</v>
      </c>
      <c r="DQ38" s="88">
        <f t="shared" si="23"/>
        <v>0</v>
      </c>
      <c r="DR38" s="89">
        <f t="shared" si="23"/>
        <v>0</v>
      </c>
      <c r="DS38" s="89">
        <f t="shared" si="23"/>
        <v>0</v>
      </c>
      <c r="DT38" s="89">
        <f t="shared" si="23"/>
        <v>0</v>
      </c>
      <c r="DU38" s="90">
        <f t="shared" si="23"/>
        <v>0</v>
      </c>
      <c r="DV38" s="90">
        <f t="shared" si="23"/>
        <v>0</v>
      </c>
      <c r="DW38" s="90">
        <f t="shared" si="23"/>
        <v>0</v>
      </c>
      <c r="DX38" s="90">
        <f t="shared" si="23"/>
        <v>0</v>
      </c>
      <c r="DY38" s="90">
        <f t="shared" si="23"/>
        <v>0</v>
      </c>
      <c r="DZ38" s="90">
        <f t="shared" si="23"/>
        <v>0</v>
      </c>
      <c r="EA38" s="90">
        <f t="shared" si="23"/>
        <v>0</v>
      </c>
      <c r="EB38" s="90">
        <f t="shared" si="23"/>
        <v>0</v>
      </c>
      <c r="EC38" s="90">
        <f t="shared" si="23"/>
        <v>0</v>
      </c>
      <c r="ED38" s="90">
        <f t="shared" si="23"/>
        <v>0</v>
      </c>
      <c r="EE38" s="90">
        <f t="shared" si="23"/>
        <v>0</v>
      </c>
      <c r="EF38" s="90">
        <f t="shared" si="23"/>
        <v>0</v>
      </c>
      <c r="EG38" s="90">
        <f t="shared" si="23"/>
        <v>0</v>
      </c>
      <c r="EH38" s="91">
        <f t="shared" si="23"/>
        <v>0</v>
      </c>
      <c r="EI38" s="88">
        <f t="shared" si="23"/>
        <v>0</v>
      </c>
      <c r="EJ38" s="89">
        <f t="shared" si="23"/>
        <v>0</v>
      </c>
      <c r="EK38" s="89">
        <f t="shared" si="23"/>
        <v>0</v>
      </c>
      <c r="EL38" s="89">
        <f t="shared" si="23"/>
        <v>0</v>
      </c>
      <c r="EM38" s="90">
        <f t="shared" si="23"/>
        <v>0</v>
      </c>
      <c r="EN38" s="90">
        <f t="shared" si="23"/>
        <v>0</v>
      </c>
      <c r="EO38" s="90">
        <f t="shared" si="23"/>
        <v>0</v>
      </c>
      <c r="EP38" s="90">
        <f t="shared" si="23"/>
        <v>0</v>
      </c>
      <c r="EQ38" s="90">
        <f t="shared" si="23"/>
        <v>0</v>
      </c>
      <c r="ER38" s="90">
        <f t="shared" si="23"/>
        <v>0</v>
      </c>
      <c r="ES38" s="90">
        <f t="shared" si="23"/>
        <v>0</v>
      </c>
      <c r="ET38" s="90">
        <f t="shared" si="23"/>
        <v>0</v>
      </c>
      <c r="EU38" s="90">
        <f t="shared" si="23"/>
        <v>0</v>
      </c>
      <c r="EV38" s="90">
        <f t="shared" si="23"/>
        <v>0</v>
      </c>
      <c r="EW38" s="90">
        <f t="shared" si="23"/>
        <v>0</v>
      </c>
      <c r="EX38" s="90">
        <f t="shared" si="23"/>
        <v>0</v>
      </c>
      <c r="EY38" s="90">
        <f t="shared" si="23"/>
        <v>0</v>
      </c>
      <c r="EZ38" s="91">
        <f t="shared" si="23"/>
        <v>0</v>
      </c>
    </row>
    <row r="39" spans="1:156">
      <c r="A39" s="11"/>
      <c r="B39" s="71" t="s">
        <v>63</v>
      </c>
      <c r="C39" s="72" t="s">
        <v>64</v>
      </c>
      <c r="D39" s="73"/>
      <c r="E39" s="73"/>
      <c r="F39" s="74"/>
      <c r="G39" s="75">
        <f>SUM(H39:AD39)</f>
        <v>3429.52</v>
      </c>
      <c r="H39" s="76">
        <f t="shared" ref="H39:W41" si="24">SUM(AE39,AW39,BO39,CG39,CY39,DQ39,EI39)</f>
        <v>0</v>
      </c>
      <c r="I39" s="77">
        <f t="shared" si="24"/>
        <v>0</v>
      </c>
      <c r="J39" s="77">
        <f t="shared" si="24"/>
        <v>0</v>
      </c>
      <c r="K39" s="77">
        <f t="shared" si="24"/>
        <v>0</v>
      </c>
      <c r="L39" s="78">
        <f t="shared" si="24"/>
        <v>0</v>
      </c>
      <c r="M39" s="78">
        <f t="shared" si="24"/>
        <v>0</v>
      </c>
      <c r="N39" s="78">
        <f t="shared" si="24"/>
        <v>0</v>
      </c>
      <c r="O39" s="78">
        <f t="shared" si="24"/>
        <v>0</v>
      </c>
      <c r="P39" s="78">
        <f t="shared" si="24"/>
        <v>0</v>
      </c>
      <c r="Q39" s="78">
        <f t="shared" si="24"/>
        <v>0</v>
      </c>
      <c r="R39" s="78">
        <f t="shared" si="24"/>
        <v>0</v>
      </c>
      <c r="S39" s="78">
        <f t="shared" si="24"/>
        <v>0</v>
      </c>
      <c r="T39" s="78">
        <f t="shared" si="24"/>
        <v>0</v>
      </c>
      <c r="U39" s="78">
        <f t="shared" si="24"/>
        <v>0</v>
      </c>
      <c r="V39" s="78">
        <f t="shared" si="24"/>
        <v>0</v>
      </c>
      <c r="W39" s="78">
        <f t="shared" si="24"/>
        <v>0</v>
      </c>
      <c r="X39" s="78">
        <f t="shared" ref="R39:Y41" si="25">SUM(AU39,BM39,CE39,CW39,DO39,EG39,EY39)</f>
        <v>0</v>
      </c>
      <c r="Y39" s="78">
        <f t="shared" si="25"/>
        <v>3429.52</v>
      </c>
      <c r="Z39" s="79">
        <f>SIS064_F_Apyvartiniutar2Elektrosenergi5</f>
        <v>0</v>
      </c>
      <c r="AA39" s="79">
        <f>SUM(SIS062_F_Apyvartiniutar2Geriamojovande1,SIS063_F_Apyvartiniutar2Geriamojovande1,SIS065_F_Apyvartiniutar2Geriamojovande1)</f>
        <v>0</v>
      </c>
      <c r="AB39" s="79">
        <f>SUM(SIS062_F_Apyvartiniutar2Paslaugaproduk8,SIS063_F_Apyvartiniutar2Paslaugaproduk8,SIS065_F_Apyvartiniutar2Paslaugaproduk8)</f>
        <v>0</v>
      </c>
      <c r="AC39" s="79">
        <f>SIS064_F_Apyvartiniutar2Elektrosenergi6</f>
        <v>0</v>
      </c>
      <c r="AD39" s="79">
        <f>SUM(SIS062_F_Apyvartiniutar2Paslaugaproduk9,SIS063_F_Apyvartiniutar2Paslaugaproduk9,SIS065_F_Apyvartiniutar2Paslaugaproduk9)</f>
        <v>0</v>
      </c>
      <c r="AE39" s="80">
        <v>0</v>
      </c>
      <c r="AF39" s="81">
        <v>0</v>
      </c>
      <c r="AG39" s="81">
        <v>0</v>
      </c>
      <c r="AH39" s="81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3">
        <v>3429.52</v>
      </c>
      <c r="AW39" s="80"/>
      <c r="AX39" s="81"/>
      <c r="AY39" s="81"/>
      <c r="AZ39" s="81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3"/>
      <c r="BO39" s="80"/>
      <c r="BP39" s="81"/>
      <c r="BQ39" s="81"/>
      <c r="BR39" s="81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3"/>
      <c r="CG39" s="80"/>
      <c r="CH39" s="81"/>
      <c r="CI39" s="81"/>
      <c r="CJ39" s="81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3"/>
      <c r="CY39" s="80"/>
      <c r="CZ39" s="81"/>
      <c r="DA39" s="81"/>
      <c r="DB39" s="81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3"/>
      <c r="DQ39" s="80"/>
      <c r="DR39" s="81"/>
      <c r="DS39" s="81"/>
      <c r="DT39" s="81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3"/>
      <c r="EI39" s="80"/>
      <c r="EJ39" s="81"/>
      <c r="EK39" s="81"/>
      <c r="EL39" s="81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3"/>
    </row>
    <row r="40" spans="1:156">
      <c r="A40" s="11"/>
      <c r="B40" s="71" t="s">
        <v>65</v>
      </c>
      <c r="C40" s="72" t="str">
        <f>SIS055_D_Kitossanaudoss5</f>
        <v>Kitos sąnaudos, susijusios su ATL įsigijimu (nurodyti)</v>
      </c>
      <c r="D40" s="73"/>
      <c r="E40" s="73"/>
      <c r="F40" s="74"/>
      <c r="G40" s="75">
        <f>SUM(H40:AD40)</f>
        <v>0</v>
      </c>
      <c r="H40" s="76">
        <f t="shared" si="24"/>
        <v>0</v>
      </c>
      <c r="I40" s="77">
        <f t="shared" si="24"/>
        <v>0</v>
      </c>
      <c r="J40" s="77">
        <f t="shared" si="24"/>
        <v>0</v>
      </c>
      <c r="K40" s="77">
        <f t="shared" si="24"/>
        <v>0</v>
      </c>
      <c r="L40" s="78">
        <f t="shared" si="24"/>
        <v>0</v>
      </c>
      <c r="M40" s="78">
        <f t="shared" si="24"/>
        <v>0</v>
      </c>
      <c r="N40" s="78">
        <f t="shared" si="24"/>
        <v>0</v>
      </c>
      <c r="O40" s="78">
        <f t="shared" si="24"/>
        <v>0</v>
      </c>
      <c r="P40" s="78">
        <f t="shared" si="24"/>
        <v>0</v>
      </c>
      <c r="Q40" s="78">
        <f t="shared" si="24"/>
        <v>0</v>
      </c>
      <c r="R40" s="78">
        <f t="shared" si="25"/>
        <v>0</v>
      </c>
      <c r="S40" s="78">
        <f t="shared" si="25"/>
        <v>0</v>
      </c>
      <c r="T40" s="78">
        <f t="shared" si="25"/>
        <v>0</v>
      </c>
      <c r="U40" s="78">
        <f t="shared" si="25"/>
        <v>0</v>
      </c>
      <c r="V40" s="78">
        <f t="shared" si="25"/>
        <v>0</v>
      </c>
      <c r="W40" s="78">
        <f t="shared" si="25"/>
        <v>0</v>
      </c>
      <c r="X40" s="78">
        <f t="shared" si="25"/>
        <v>0</v>
      </c>
      <c r="Y40" s="78">
        <f t="shared" si="25"/>
        <v>0</v>
      </c>
      <c r="Z40" s="79">
        <f>SIS064_F_Kitossanaudoss5Elektrosenergi5</f>
        <v>0</v>
      </c>
      <c r="AA40" s="79">
        <f>SUM(SIS062_F_Kitossanaudoss5Geriamojovande1,SIS063_F_Kitossanaudoss5Geriamojovande1,SIS065_F_Kitossanaudoss5Geriamojovande1)</f>
        <v>0</v>
      </c>
      <c r="AB40" s="79">
        <f>SUM(SIS062_F_Kitossanaudoss5Paslaugaproduk8,SIS063_F_Kitossanaudoss5Paslaugaproduk8,SIS065_F_Kitossanaudoss5Paslaugaproduk8)</f>
        <v>0</v>
      </c>
      <c r="AC40" s="79">
        <f>SIS064_F_Kitossanaudoss5Elektrosenergi6</f>
        <v>0</v>
      </c>
      <c r="AD40" s="79">
        <f>SUM(SIS062_F_Kitossanaudoss5Paslaugaproduk9,SIS063_F_Kitossanaudoss5Paslaugaproduk9,SIS065_F_Kitossanaudoss5Paslaugaproduk9)</f>
        <v>0</v>
      </c>
      <c r="AE40" s="80">
        <v>0</v>
      </c>
      <c r="AF40" s="81">
        <v>0</v>
      </c>
      <c r="AG40" s="81">
        <v>0</v>
      </c>
      <c r="AH40" s="81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3">
        <v>0</v>
      </c>
      <c r="AW40" s="80"/>
      <c r="AX40" s="81"/>
      <c r="AY40" s="81"/>
      <c r="AZ40" s="81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3"/>
      <c r="BO40" s="80"/>
      <c r="BP40" s="81"/>
      <c r="BQ40" s="81"/>
      <c r="BR40" s="81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3"/>
      <c r="CG40" s="80"/>
      <c r="CH40" s="81"/>
      <c r="CI40" s="81"/>
      <c r="CJ40" s="81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3"/>
      <c r="CY40" s="80"/>
      <c r="CZ40" s="81"/>
      <c r="DA40" s="81"/>
      <c r="DB40" s="81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3"/>
      <c r="DQ40" s="80"/>
      <c r="DR40" s="81"/>
      <c r="DS40" s="81"/>
      <c r="DT40" s="81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3"/>
      <c r="EI40" s="80"/>
      <c r="EJ40" s="81"/>
      <c r="EK40" s="81"/>
      <c r="EL40" s="81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3"/>
    </row>
    <row r="41" spans="1:156">
      <c r="A41" s="11"/>
      <c r="B41" s="71" t="s">
        <v>66</v>
      </c>
      <c r="C41" s="72" t="str">
        <f>SIS055_D_Kitossanaudoss6</f>
        <v>Kitos sąnaudos, susijusios su ATL įsigijimu (nurodyti)</v>
      </c>
      <c r="D41" s="73"/>
      <c r="E41" s="73"/>
      <c r="F41" s="74"/>
      <c r="G41" s="75">
        <f>SUM(H41:AD41)</f>
        <v>0</v>
      </c>
      <c r="H41" s="76">
        <f t="shared" si="24"/>
        <v>0</v>
      </c>
      <c r="I41" s="77">
        <f t="shared" si="24"/>
        <v>0</v>
      </c>
      <c r="J41" s="77">
        <f t="shared" si="24"/>
        <v>0</v>
      </c>
      <c r="K41" s="77">
        <f t="shared" si="24"/>
        <v>0</v>
      </c>
      <c r="L41" s="78">
        <f t="shared" si="24"/>
        <v>0</v>
      </c>
      <c r="M41" s="78">
        <f t="shared" si="24"/>
        <v>0</v>
      </c>
      <c r="N41" s="78">
        <f t="shared" si="24"/>
        <v>0</v>
      </c>
      <c r="O41" s="78">
        <f t="shared" si="24"/>
        <v>0</v>
      </c>
      <c r="P41" s="78">
        <f t="shared" si="24"/>
        <v>0</v>
      </c>
      <c r="Q41" s="78">
        <f t="shared" si="24"/>
        <v>0</v>
      </c>
      <c r="R41" s="78">
        <f t="shared" si="25"/>
        <v>0</v>
      </c>
      <c r="S41" s="78">
        <f t="shared" si="25"/>
        <v>0</v>
      </c>
      <c r="T41" s="78">
        <f t="shared" si="25"/>
        <v>0</v>
      </c>
      <c r="U41" s="78">
        <f t="shared" si="25"/>
        <v>0</v>
      </c>
      <c r="V41" s="78">
        <f t="shared" si="25"/>
        <v>0</v>
      </c>
      <c r="W41" s="78">
        <f t="shared" si="25"/>
        <v>0</v>
      </c>
      <c r="X41" s="78">
        <f t="shared" si="25"/>
        <v>0</v>
      </c>
      <c r="Y41" s="78">
        <f t="shared" si="25"/>
        <v>0</v>
      </c>
      <c r="Z41" s="79">
        <f>SIS064_F_Kitossanaudoss6Elektrosenergi5</f>
        <v>0</v>
      </c>
      <c r="AA41" s="79">
        <f>SUM(SIS062_F_Kitossanaudoss6Geriamojovande1,SIS063_F_Kitossanaudoss6Geriamojovande1,SIS065_F_Kitossanaudoss6Geriamojovande1)</f>
        <v>0</v>
      </c>
      <c r="AB41" s="79">
        <f>SUM(SIS062_F_Kitossanaudoss6Paslaugaproduk8,SIS063_F_Kitossanaudoss6Paslaugaproduk8,SIS065_F_Kitossanaudoss6Paslaugaproduk8)</f>
        <v>0</v>
      </c>
      <c r="AC41" s="79">
        <f>SIS064_F_Kitossanaudoss6Elektrosenergi6</f>
        <v>0</v>
      </c>
      <c r="AD41" s="79">
        <f>SUM(SIS062_F_Kitossanaudoss6Paslaugaproduk9,SIS063_F_Kitossanaudoss6Paslaugaproduk9,SIS065_F_Kitossanaudoss6Paslaugaproduk9)</f>
        <v>0</v>
      </c>
      <c r="AE41" s="80">
        <v>0</v>
      </c>
      <c r="AF41" s="81">
        <v>0</v>
      </c>
      <c r="AG41" s="81">
        <v>0</v>
      </c>
      <c r="AH41" s="81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83">
        <v>0</v>
      </c>
      <c r="AW41" s="80"/>
      <c r="AX41" s="81"/>
      <c r="AY41" s="81"/>
      <c r="AZ41" s="81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3"/>
      <c r="BO41" s="80"/>
      <c r="BP41" s="81"/>
      <c r="BQ41" s="81"/>
      <c r="BR41" s="81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3"/>
      <c r="CG41" s="80"/>
      <c r="CH41" s="81"/>
      <c r="CI41" s="81"/>
      <c r="CJ41" s="81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3"/>
      <c r="CY41" s="80"/>
      <c r="CZ41" s="81"/>
      <c r="DA41" s="81"/>
      <c r="DB41" s="81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3"/>
      <c r="DQ41" s="80"/>
      <c r="DR41" s="81"/>
      <c r="DS41" s="81"/>
      <c r="DT41" s="81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3"/>
      <c r="EI41" s="80"/>
      <c r="EJ41" s="81"/>
      <c r="EK41" s="81"/>
      <c r="EL41" s="81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3"/>
    </row>
    <row r="42" spans="1:156">
      <c r="A42" s="11"/>
      <c r="B42" s="102" t="s">
        <v>67</v>
      </c>
      <c r="C42" s="95" t="s">
        <v>68</v>
      </c>
      <c r="D42" s="96"/>
      <c r="E42" s="96"/>
      <c r="F42" s="97"/>
      <c r="G42" s="75">
        <f t="shared" ref="G42:AD42" si="26">SUM(G43:G49)</f>
        <v>7297.98</v>
      </c>
      <c r="H42" s="88">
        <f t="shared" si="26"/>
        <v>7297.98</v>
      </c>
      <c r="I42" s="89">
        <f t="shared" si="26"/>
        <v>0</v>
      </c>
      <c r="J42" s="89">
        <f t="shared" si="26"/>
        <v>0</v>
      </c>
      <c r="K42" s="89">
        <f t="shared" si="26"/>
        <v>0</v>
      </c>
      <c r="L42" s="90">
        <f t="shared" si="26"/>
        <v>0</v>
      </c>
      <c r="M42" s="90">
        <f t="shared" si="26"/>
        <v>0</v>
      </c>
      <c r="N42" s="90">
        <f t="shared" si="26"/>
        <v>0</v>
      </c>
      <c r="O42" s="90">
        <f t="shared" si="26"/>
        <v>0</v>
      </c>
      <c r="P42" s="90">
        <f t="shared" si="26"/>
        <v>0</v>
      </c>
      <c r="Q42" s="90">
        <f t="shared" si="26"/>
        <v>0</v>
      </c>
      <c r="R42" s="90">
        <f t="shared" si="26"/>
        <v>0</v>
      </c>
      <c r="S42" s="90">
        <f t="shared" si="26"/>
        <v>0</v>
      </c>
      <c r="T42" s="90">
        <f t="shared" si="26"/>
        <v>0</v>
      </c>
      <c r="U42" s="90">
        <f t="shared" si="26"/>
        <v>0</v>
      </c>
      <c r="V42" s="90">
        <f t="shared" si="26"/>
        <v>0</v>
      </c>
      <c r="W42" s="90">
        <f t="shared" si="26"/>
        <v>0</v>
      </c>
      <c r="X42" s="90">
        <f t="shared" si="26"/>
        <v>0</v>
      </c>
      <c r="Y42" s="90">
        <f t="shared" si="26"/>
        <v>0</v>
      </c>
      <c r="Z42" s="90">
        <f t="shared" si="26"/>
        <v>0</v>
      </c>
      <c r="AA42" s="90">
        <f t="shared" si="26"/>
        <v>0</v>
      </c>
      <c r="AB42" s="90">
        <f t="shared" si="26"/>
        <v>0</v>
      </c>
      <c r="AC42" s="90">
        <f t="shared" si="26"/>
        <v>0</v>
      </c>
      <c r="AD42" s="90">
        <f t="shared" si="26"/>
        <v>0</v>
      </c>
      <c r="AE42" s="88">
        <f t="shared" ref="AE42:CP42" si="27">SUM(AE43:AE49)</f>
        <v>7297.98</v>
      </c>
      <c r="AF42" s="89">
        <f t="shared" si="27"/>
        <v>0</v>
      </c>
      <c r="AG42" s="89">
        <f t="shared" si="27"/>
        <v>0</v>
      </c>
      <c r="AH42" s="89">
        <f t="shared" si="27"/>
        <v>0</v>
      </c>
      <c r="AI42" s="90">
        <f t="shared" si="27"/>
        <v>0</v>
      </c>
      <c r="AJ42" s="90">
        <f t="shared" si="27"/>
        <v>0</v>
      </c>
      <c r="AK42" s="90">
        <f t="shared" si="27"/>
        <v>0</v>
      </c>
      <c r="AL42" s="90">
        <f t="shared" si="27"/>
        <v>0</v>
      </c>
      <c r="AM42" s="90">
        <f t="shared" si="27"/>
        <v>0</v>
      </c>
      <c r="AN42" s="90">
        <f t="shared" si="27"/>
        <v>0</v>
      </c>
      <c r="AO42" s="90">
        <f t="shared" si="27"/>
        <v>0</v>
      </c>
      <c r="AP42" s="90">
        <f t="shared" si="27"/>
        <v>0</v>
      </c>
      <c r="AQ42" s="90">
        <f t="shared" si="27"/>
        <v>0</v>
      </c>
      <c r="AR42" s="90">
        <f t="shared" si="27"/>
        <v>0</v>
      </c>
      <c r="AS42" s="90">
        <f t="shared" si="27"/>
        <v>0</v>
      </c>
      <c r="AT42" s="90">
        <f t="shared" si="27"/>
        <v>0</v>
      </c>
      <c r="AU42" s="90">
        <f t="shared" si="27"/>
        <v>0</v>
      </c>
      <c r="AV42" s="91">
        <f t="shared" si="27"/>
        <v>0</v>
      </c>
      <c r="AW42" s="88">
        <f t="shared" si="27"/>
        <v>0</v>
      </c>
      <c r="AX42" s="89">
        <f t="shared" si="27"/>
        <v>0</v>
      </c>
      <c r="AY42" s="89">
        <f t="shared" si="27"/>
        <v>0</v>
      </c>
      <c r="AZ42" s="89">
        <f t="shared" si="27"/>
        <v>0</v>
      </c>
      <c r="BA42" s="90">
        <f t="shared" si="27"/>
        <v>0</v>
      </c>
      <c r="BB42" s="90">
        <f t="shared" si="27"/>
        <v>0</v>
      </c>
      <c r="BC42" s="90">
        <f t="shared" si="27"/>
        <v>0</v>
      </c>
      <c r="BD42" s="90">
        <f t="shared" si="27"/>
        <v>0</v>
      </c>
      <c r="BE42" s="90">
        <f t="shared" si="27"/>
        <v>0</v>
      </c>
      <c r="BF42" s="90">
        <f t="shared" si="27"/>
        <v>0</v>
      </c>
      <c r="BG42" s="90">
        <f t="shared" si="27"/>
        <v>0</v>
      </c>
      <c r="BH42" s="90">
        <f t="shared" si="27"/>
        <v>0</v>
      </c>
      <c r="BI42" s="90">
        <f t="shared" si="27"/>
        <v>0</v>
      </c>
      <c r="BJ42" s="90">
        <f t="shared" si="27"/>
        <v>0</v>
      </c>
      <c r="BK42" s="90">
        <f t="shared" si="27"/>
        <v>0</v>
      </c>
      <c r="BL42" s="90">
        <f t="shared" si="27"/>
        <v>0</v>
      </c>
      <c r="BM42" s="90">
        <f t="shared" si="27"/>
        <v>0</v>
      </c>
      <c r="BN42" s="91">
        <f t="shared" si="27"/>
        <v>0</v>
      </c>
      <c r="BO42" s="88">
        <f t="shared" si="27"/>
        <v>0</v>
      </c>
      <c r="BP42" s="89">
        <f t="shared" si="27"/>
        <v>0</v>
      </c>
      <c r="BQ42" s="89">
        <f t="shared" si="27"/>
        <v>0</v>
      </c>
      <c r="BR42" s="89">
        <f t="shared" si="27"/>
        <v>0</v>
      </c>
      <c r="BS42" s="90">
        <f t="shared" si="27"/>
        <v>0</v>
      </c>
      <c r="BT42" s="90">
        <f t="shared" si="27"/>
        <v>0</v>
      </c>
      <c r="BU42" s="90">
        <f t="shared" si="27"/>
        <v>0</v>
      </c>
      <c r="BV42" s="90">
        <f t="shared" si="27"/>
        <v>0</v>
      </c>
      <c r="BW42" s="90">
        <f t="shared" si="27"/>
        <v>0</v>
      </c>
      <c r="BX42" s="90">
        <f t="shared" si="27"/>
        <v>0</v>
      </c>
      <c r="BY42" s="90">
        <f t="shared" si="27"/>
        <v>0</v>
      </c>
      <c r="BZ42" s="90">
        <f t="shared" si="27"/>
        <v>0</v>
      </c>
      <c r="CA42" s="90">
        <f t="shared" si="27"/>
        <v>0</v>
      </c>
      <c r="CB42" s="90">
        <f t="shared" si="27"/>
        <v>0</v>
      </c>
      <c r="CC42" s="90">
        <f t="shared" si="27"/>
        <v>0</v>
      </c>
      <c r="CD42" s="90">
        <f t="shared" si="27"/>
        <v>0</v>
      </c>
      <c r="CE42" s="90">
        <f t="shared" si="27"/>
        <v>0</v>
      </c>
      <c r="CF42" s="91">
        <f t="shared" si="27"/>
        <v>0</v>
      </c>
      <c r="CG42" s="88">
        <f t="shared" si="27"/>
        <v>0</v>
      </c>
      <c r="CH42" s="89">
        <f t="shared" si="27"/>
        <v>0</v>
      </c>
      <c r="CI42" s="89">
        <f t="shared" si="27"/>
        <v>0</v>
      </c>
      <c r="CJ42" s="89">
        <f t="shared" si="27"/>
        <v>0</v>
      </c>
      <c r="CK42" s="90">
        <f t="shared" si="27"/>
        <v>0</v>
      </c>
      <c r="CL42" s="90">
        <f t="shared" si="27"/>
        <v>0</v>
      </c>
      <c r="CM42" s="90">
        <f t="shared" si="27"/>
        <v>0</v>
      </c>
      <c r="CN42" s="90">
        <f t="shared" si="27"/>
        <v>0</v>
      </c>
      <c r="CO42" s="90">
        <f t="shared" si="27"/>
        <v>0</v>
      </c>
      <c r="CP42" s="90">
        <f t="shared" si="27"/>
        <v>0</v>
      </c>
      <c r="CQ42" s="90">
        <f t="shared" ref="CQ42:EZ42" si="28">SUM(CQ43:CQ49)</f>
        <v>0</v>
      </c>
      <c r="CR42" s="90">
        <f t="shared" si="28"/>
        <v>0</v>
      </c>
      <c r="CS42" s="90">
        <f t="shared" si="28"/>
        <v>0</v>
      </c>
      <c r="CT42" s="90">
        <f t="shared" si="28"/>
        <v>0</v>
      </c>
      <c r="CU42" s="90">
        <f t="shared" si="28"/>
        <v>0</v>
      </c>
      <c r="CV42" s="90">
        <f t="shared" si="28"/>
        <v>0</v>
      </c>
      <c r="CW42" s="90">
        <f t="shared" si="28"/>
        <v>0</v>
      </c>
      <c r="CX42" s="91">
        <f t="shared" si="28"/>
        <v>0</v>
      </c>
      <c r="CY42" s="88">
        <f t="shared" si="28"/>
        <v>0</v>
      </c>
      <c r="CZ42" s="89">
        <f t="shared" si="28"/>
        <v>0</v>
      </c>
      <c r="DA42" s="89">
        <f t="shared" si="28"/>
        <v>0</v>
      </c>
      <c r="DB42" s="89">
        <f t="shared" si="28"/>
        <v>0</v>
      </c>
      <c r="DC42" s="90">
        <f t="shared" si="28"/>
        <v>0</v>
      </c>
      <c r="DD42" s="90">
        <f t="shared" si="28"/>
        <v>0</v>
      </c>
      <c r="DE42" s="90">
        <f t="shared" si="28"/>
        <v>0</v>
      </c>
      <c r="DF42" s="90">
        <f t="shared" si="28"/>
        <v>0</v>
      </c>
      <c r="DG42" s="90">
        <f t="shared" si="28"/>
        <v>0</v>
      </c>
      <c r="DH42" s="90">
        <f t="shared" si="28"/>
        <v>0</v>
      </c>
      <c r="DI42" s="90">
        <f t="shared" si="28"/>
        <v>0</v>
      </c>
      <c r="DJ42" s="90">
        <f t="shared" si="28"/>
        <v>0</v>
      </c>
      <c r="DK42" s="90">
        <f t="shared" si="28"/>
        <v>0</v>
      </c>
      <c r="DL42" s="90">
        <f t="shared" si="28"/>
        <v>0</v>
      </c>
      <c r="DM42" s="90">
        <f t="shared" si="28"/>
        <v>0</v>
      </c>
      <c r="DN42" s="90">
        <f t="shared" si="28"/>
        <v>0</v>
      </c>
      <c r="DO42" s="90">
        <f t="shared" si="28"/>
        <v>0</v>
      </c>
      <c r="DP42" s="91">
        <f t="shared" si="28"/>
        <v>0</v>
      </c>
      <c r="DQ42" s="88">
        <f t="shared" si="28"/>
        <v>0</v>
      </c>
      <c r="DR42" s="89">
        <f t="shared" si="28"/>
        <v>0</v>
      </c>
      <c r="DS42" s="89">
        <f t="shared" si="28"/>
        <v>0</v>
      </c>
      <c r="DT42" s="89">
        <f t="shared" si="28"/>
        <v>0</v>
      </c>
      <c r="DU42" s="90">
        <f t="shared" si="28"/>
        <v>0</v>
      </c>
      <c r="DV42" s="90">
        <f t="shared" si="28"/>
        <v>0</v>
      </c>
      <c r="DW42" s="90">
        <f t="shared" si="28"/>
        <v>0</v>
      </c>
      <c r="DX42" s="90">
        <f t="shared" si="28"/>
        <v>0</v>
      </c>
      <c r="DY42" s="90">
        <f t="shared" si="28"/>
        <v>0</v>
      </c>
      <c r="DZ42" s="90">
        <f t="shared" si="28"/>
        <v>0</v>
      </c>
      <c r="EA42" s="90">
        <f t="shared" si="28"/>
        <v>0</v>
      </c>
      <c r="EB42" s="90">
        <f t="shared" si="28"/>
        <v>0</v>
      </c>
      <c r="EC42" s="90">
        <f t="shared" si="28"/>
        <v>0</v>
      </c>
      <c r="ED42" s="90">
        <f t="shared" si="28"/>
        <v>0</v>
      </c>
      <c r="EE42" s="90">
        <f t="shared" si="28"/>
        <v>0</v>
      </c>
      <c r="EF42" s="90">
        <f t="shared" si="28"/>
        <v>0</v>
      </c>
      <c r="EG42" s="90">
        <f t="shared" si="28"/>
        <v>0</v>
      </c>
      <c r="EH42" s="91">
        <f t="shared" si="28"/>
        <v>0</v>
      </c>
      <c r="EI42" s="88">
        <f t="shared" si="28"/>
        <v>0</v>
      </c>
      <c r="EJ42" s="89">
        <f t="shared" si="28"/>
        <v>0</v>
      </c>
      <c r="EK42" s="89">
        <f t="shared" si="28"/>
        <v>0</v>
      </c>
      <c r="EL42" s="89">
        <f t="shared" si="28"/>
        <v>0</v>
      </c>
      <c r="EM42" s="90">
        <f t="shared" si="28"/>
        <v>0</v>
      </c>
      <c r="EN42" s="90">
        <f t="shared" si="28"/>
        <v>0</v>
      </c>
      <c r="EO42" s="90">
        <f t="shared" si="28"/>
        <v>0</v>
      </c>
      <c r="EP42" s="90">
        <f t="shared" si="28"/>
        <v>0</v>
      </c>
      <c r="EQ42" s="90">
        <f t="shared" si="28"/>
        <v>0</v>
      </c>
      <c r="ER42" s="90">
        <f t="shared" si="28"/>
        <v>0</v>
      </c>
      <c r="ES42" s="90">
        <f t="shared" si="28"/>
        <v>0</v>
      </c>
      <c r="ET42" s="90">
        <f t="shared" si="28"/>
        <v>0</v>
      </c>
      <c r="EU42" s="90">
        <f t="shared" si="28"/>
        <v>0</v>
      </c>
      <c r="EV42" s="90">
        <f t="shared" si="28"/>
        <v>0</v>
      </c>
      <c r="EW42" s="90">
        <f t="shared" si="28"/>
        <v>0</v>
      </c>
      <c r="EX42" s="90">
        <f t="shared" si="28"/>
        <v>0</v>
      </c>
      <c r="EY42" s="90">
        <f t="shared" si="28"/>
        <v>0</v>
      </c>
      <c r="EZ42" s="91">
        <f t="shared" si="28"/>
        <v>0</v>
      </c>
    </row>
    <row r="43" spans="1:156">
      <c r="A43" s="11"/>
      <c r="B43" s="103" t="s">
        <v>69</v>
      </c>
      <c r="C43" s="104" t="s">
        <v>70</v>
      </c>
      <c r="D43" s="104"/>
      <c r="E43" s="104"/>
      <c r="F43" s="105"/>
      <c r="G43" s="75">
        <f t="shared" ref="G43:G49" si="29">SUM(H43:AD43)</f>
        <v>484</v>
      </c>
      <c r="H43" s="76">
        <f t="shared" ref="H43:W49" si="30">SUM(AE43,AW43,BO43,CG43,CY43,DQ43,EI43)</f>
        <v>484</v>
      </c>
      <c r="I43" s="77">
        <f t="shared" si="30"/>
        <v>0</v>
      </c>
      <c r="J43" s="77">
        <f t="shared" si="30"/>
        <v>0</v>
      </c>
      <c r="K43" s="77">
        <f t="shared" si="30"/>
        <v>0</v>
      </c>
      <c r="L43" s="78">
        <f t="shared" si="30"/>
        <v>0</v>
      </c>
      <c r="M43" s="78">
        <f t="shared" si="30"/>
        <v>0</v>
      </c>
      <c r="N43" s="78">
        <f t="shared" si="30"/>
        <v>0</v>
      </c>
      <c r="O43" s="78">
        <f t="shared" si="30"/>
        <v>0</v>
      </c>
      <c r="P43" s="78">
        <f t="shared" si="30"/>
        <v>0</v>
      </c>
      <c r="Q43" s="78">
        <f t="shared" si="30"/>
        <v>0</v>
      </c>
      <c r="R43" s="78">
        <f t="shared" si="30"/>
        <v>0</v>
      </c>
      <c r="S43" s="78">
        <f t="shared" si="30"/>
        <v>0</v>
      </c>
      <c r="T43" s="78">
        <f t="shared" si="30"/>
        <v>0</v>
      </c>
      <c r="U43" s="78">
        <f t="shared" si="30"/>
        <v>0</v>
      </c>
      <c r="V43" s="78">
        <f t="shared" si="30"/>
        <v>0</v>
      </c>
      <c r="W43" s="78">
        <f t="shared" si="30"/>
        <v>0</v>
      </c>
      <c r="X43" s="78">
        <f t="shared" ref="R43:Y49" si="31">SUM(AU43,BM43,CE43,CW43,DO43,EG43,EY43)</f>
        <v>0</v>
      </c>
      <c r="Y43" s="78">
        <f t="shared" si="31"/>
        <v>0</v>
      </c>
      <c r="Z43" s="79">
        <f>SIS064_F_Pelenutvarkymo1Elektrosenergi5</f>
        <v>0</v>
      </c>
      <c r="AA43" s="79">
        <f>SUM(SIS062_F_Pelenutvarkymo1Geriamojovande1,SIS063_F_Pelenutvarkymo1Geriamojovande1,SIS065_F_Pelenutvarkymo1Geriamojovande1)</f>
        <v>0</v>
      </c>
      <c r="AB43" s="79">
        <f>SUM(SIS062_F_Pelenutvarkymo1Paslaugaproduk8,SIS063_F_Pelenutvarkymo1Paslaugaproduk8,SIS065_F_Pelenutvarkymo1Paslaugaproduk8)</f>
        <v>0</v>
      </c>
      <c r="AC43" s="79">
        <f>SIS064_F_Pelenutvarkymo1Elektrosenergi6</f>
        <v>0</v>
      </c>
      <c r="AD43" s="79">
        <f>SUM(SIS062_F_Pelenutvarkymo1Paslaugaproduk9,SIS063_F_Pelenutvarkymo1Paslaugaproduk9,SIS065_F_Pelenutvarkymo1Paslaugaproduk9)</f>
        <v>0</v>
      </c>
      <c r="AE43" s="80">
        <v>484</v>
      </c>
      <c r="AF43" s="81">
        <v>0</v>
      </c>
      <c r="AG43" s="81">
        <v>0</v>
      </c>
      <c r="AH43" s="81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3">
        <v>0</v>
      </c>
      <c r="AW43" s="80"/>
      <c r="AX43" s="81"/>
      <c r="AY43" s="81"/>
      <c r="AZ43" s="81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3"/>
      <c r="BO43" s="80"/>
      <c r="BP43" s="81"/>
      <c r="BQ43" s="81"/>
      <c r="BR43" s="81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3"/>
      <c r="CG43" s="80"/>
      <c r="CH43" s="81"/>
      <c r="CI43" s="81"/>
      <c r="CJ43" s="81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3"/>
      <c r="CY43" s="80"/>
      <c r="CZ43" s="81"/>
      <c r="DA43" s="81"/>
      <c r="DB43" s="81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3"/>
      <c r="DQ43" s="80"/>
      <c r="DR43" s="81"/>
      <c r="DS43" s="81"/>
      <c r="DT43" s="81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3"/>
      <c r="EI43" s="80"/>
      <c r="EJ43" s="81"/>
      <c r="EK43" s="81"/>
      <c r="EL43" s="81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3"/>
    </row>
    <row r="44" spans="1:156">
      <c r="A44" s="11"/>
      <c r="B44" s="103" t="s">
        <v>71</v>
      </c>
      <c r="C44" s="104" t="s">
        <v>72</v>
      </c>
      <c r="D44" s="104"/>
      <c r="E44" s="104"/>
      <c r="F44" s="105"/>
      <c r="G44" s="75">
        <f t="shared" si="29"/>
        <v>3873.38</v>
      </c>
      <c r="H44" s="76">
        <f t="shared" si="30"/>
        <v>3873.38</v>
      </c>
      <c r="I44" s="77">
        <f t="shared" si="30"/>
        <v>0</v>
      </c>
      <c r="J44" s="77">
        <f t="shared" si="30"/>
        <v>0</v>
      </c>
      <c r="K44" s="77">
        <f t="shared" si="30"/>
        <v>0</v>
      </c>
      <c r="L44" s="78">
        <f t="shared" si="30"/>
        <v>0</v>
      </c>
      <c r="M44" s="78">
        <f t="shared" si="30"/>
        <v>0</v>
      </c>
      <c r="N44" s="78">
        <f t="shared" si="30"/>
        <v>0</v>
      </c>
      <c r="O44" s="78">
        <f t="shared" si="30"/>
        <v>0</v>
      </c>
      <c r="P44" s="78">
        <f t="shared" si="30"/>
        <v>0</v>
      </c>
      <c r="Q44" s="78">
        <f t="shared" si="30"/>
        <v>0</v>
      </c>
      <c r="R44" s="78">
        <f t="shared" si="31"/>
        <v>0</v>
      </c>
      <c r="S44" s="78">
        <f t="shared" si="31"/>
        <v>0</v>
      </c>
      <c r="T44" s="78">
        <f t="shared" si="31"/>
        <v>0</v>
      </c>
      <c r="U44" s="78">
        <f t="shared" si="31"/>
        <v>0</v>
      </c>
      <c r="V44" s="78">
        <f t="shared" si="31"/>
        <v>0</v>
      </c>
      <c r="W44" s="78">
        <f t="shared" si="31"/>
        <v>0</v>
      </c>
      <c r="X44" s="78">
        <f t="shared" si="31"/>
        <v>0</v>
      </c>
      <c r="Y44" s="78">
        <f t="shared" si="31"/>
        <v>0</v>
      </c>
      <c r="Z44" s="79">
        <f>SIS064_F_Energijosistek1Elektrosenergi5</f>
        <v>0</v>
      </c>
      <c r="AA44" s="79">
        <f>SUM(SIS062_F_Energijosistek1Geriamojovande1,SIS063_F_Energijosistek1Geriamojovande1,SIS065_F_Energijosistek1Geriamojovande1)</f>
        <v>0</v>
      </c>
      <c r="AB44" s="79">
        <f>SUM(SIS062_F_Energijosistek1Paslaugaproduk8,SIS063_F_Energijosistek1Paslaugaproduk8,SIS065_F_Energijosistek1Paslaugaproduk8)</f>
        <v>0</v>
      </c>
      <c r="AC44" s="79">
        <f>SIS064_F_Energijosistek1Elektrosenergi6</f>
        <v>0</v>
      </c>
      <c r="AD44" s="79">
        <f>SUM(SIS062_F_Energijosistek1Paslaugaproduk9,SIS063_F_Energijosistek1Paslaugaproduk9,SIS065_F_Energijosistek1Paslaugaproduk9)</f>
        <v>0</v>
      </c>
      <c r="AE44" s="80">
        <v>3873.38</v>
      </c>
      <c r="AF44" s="81">
        <v>0</v>
      </c>
      <c r="AG44" s="81">
        <v>0</v>
      </c>
      <c r="AH44" s="81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3">
        <v>0</v>
      </c>
      <c r="AW44" s="80"/>
      <c r="AX44" s="81"/>
      <c r="AY44" s="81"/>
      <c r="AZ44" s="81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3"/>
      <c r="BO44" s="80"/>
      <c r="BP44" s="81"/>
      <c r="BQ44" s="81"/>
      <c r="BR44" s="81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3"/>
      <c r="CG44" s="80"/>
      <c r="CH44" s="81"/>
      <c r="CI44" s="81"/>
      <c r="CJ44" s="81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3"/>
      <c r="CY44" s="80"/>
      <c r="CZ44" s="81"/>
      <c r="DA44" s="81"/>
      <c r="DB44" s="81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3"/>
      <c r="DQ44" s="80"/>
      <c r="DR44" s="81"/>
      <c r="DS44" s="81"/>
      <c r="DT44" s="81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3"/>
      <c r="EI44" s="80"/>
      <c r="EJ44" s="81"/>
      <c r="EK44" s="81"/>
      <c r="EL44" s="81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3"/>
    </row>
    <row r="45" spans="1:156">
      <c r="A45" s="11"/>
      <c r="B45" s="103" t="s">
        <v>73</v>
      </c>
      <c r="C45" s="98" t="s">
        <v>74</v>
      </c>
      <c r="D45" s="106"/>
      <c r="E45" s="106"/>
      <c r="F45" s="107"/>
      <c r="G45" s="75">
        <f t="shared" si="29"/>
        <v>0</v>
      </c>
      <c r="H45" s="76">
        <f t="shared" si="30"/>
        <v>0</v>
      </c>
      <c r="I45" s="77">
        <f t="shared" si="30"/>
        <v>0</v>
      </c>
      <c r="J45" s="77">
        <f t="shared" si="30"/>
        <v>0</v>
      </c>
      <c r="K45" s="77">
        <f t="shared" si="30"/>
        <v>0</v>
      </c>
      <c r="L45" s="78">
        <f t="shared" si="30"/>
        <v>0</v>
      </c>
      <c r="M45" s="78">
        <f t="shared" si="30"/>
        <v>0</v>
      </c>
      <c r="N45" s="78">
        <f t="shared" si="30"/>
        <v>0</v>
      </c>
      <c r="O45" s="78">
        <f t="shared" si="30"/>
        <v>0</v>
      </c>
      <c r="P45" s="78">
        <f t="shared" si="30"/>
        <v>0</v>
      </c>
      <c r="Q45" s="78">
        <f t="shared" si="30"/>
        <v>0</v>
      </c>
      <c r="R45" s="78">
        <f t="shared" si="31"/>
        <v>0</v>
      </c>
      <c r="S45" s="78">
        <f t="shared" si="31"/>
        <v>0</v>
      </c>
      <c r="T45" s="78">
        <f t="shared" si="31"/>
        <v>0</v>
      </c>
      <c r="U45" s="78">
        <f t="shared" si="31"/>
        <v>0</v>
      </c>
      <c r="V45" s="78">
        <f t="shared" si="31"/>
        <v>0</v>
      </c>
      <c r="W45" s="78">
        <f t="shared" si="31"/>
        <v>0</v>
      </c>
      <c r="X45" s="78">
        <f t="shared" si="31"/>
        <v>0</v>
      </c>
      <c r="Y45" s="78">
        <f t="shared" si="31"/>
        <v>0</v>
      </c>
      <c r="Z45" s="79">
        <f>SIS064_F_Gamtiniudujubi1Elektrosenergi5</f>
        <v>0</v>
      </c>
      <c r="AA45" s="79">
        <f>SUM(SIS062_F_Gamtiniudujubi1Geriamojovande1,SIS063_F_Gamtiniudujubi1Geriamojovande1,SIS065_F_Gamtiniudujubi1Geriamojovande1)</f>
        <v>0</v>
      </c>
      <c r="AB45" s="79">
        <f>SUM(SIS062_F_Gamtiniudujubi1Paslaugaproduk8,SIS063_F_Gamtiniudujubi1Paslaugaproduk8,SIS065_F_Gamtiniudujubi1Paslaugaproduk8)</f>
        <v>0</v>
      </c>
      <c r="AC45" s="79">
        <f>SIS064_F_Gamtiniudujubi1Elektrosenergi6</f>
        <v>0</v>
      </c>
      <c r="AD45" s="79">
        <f>SUM(SIS062_F_Gamtiniudujubi1Paslaugaproduk9,SIS063_F_Gamtiniudujubi1Paslaugaproduk9,SIS065_F_Gamtiniudujubi1Paslaugaproduk9)</f>
        <v>0</v>
      </c>
      <c r="AE45" s="80">
        <v>0</v>
      </c>
      <c r="AF45" s="81">
        <v>0</v>
      </c>
      <c r="AG45" s="81">
        <v>0</v>
      </c>
      <c r="AH45" s="81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83">
        <v>0</v>
      </c>
      <c r="AW45" s="80"/>
      <c r="AX45" s="81"/>
      <c r="AY45" s="81"/>
      <c r="AZ45" s="81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3"/>
      <c r="BO45" s="80"/>
      <c r="BP45" s="81"/>
      <c r="BQ45" s="81"/>
      <c r="BR45" s="81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3"/>
      <c r="CG45" s="80"/>
      <c r="CH45" s="81"/>
      <c r="CI45" s="81"/>
      <c r="CJ45" s="81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3"/>
      <c r="CY45" s="80"/>
      <c r="CZ45" s="81"/>
      <c r="DA45" s="81"/>
      <c r="DB45" s="81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0"/>
      <c r="DR45" s="81"/>
      <c r="DS45" s="81"/>
      <c r="DT45" s="81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3"/>
      <c r="EI45" s="80"/>
      <c r="EJ45" s="81"/>
      <c r="EK45" s="81"/>
      <c r="EL45" s="81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3"/>
    </row>
    <row r="46" spans="1:156">
      <c r="A46" s="11"/>
      <c r="B46" s="103" t="s">
        <v>75</v>
      </c>
      <c r="C46" s="108" t="s">
        <v>76</v>
      </c>
      <c r="D46" s="104"/>
      <c r="E46" s="104"/>
      <c r="F46" s="105"/>
      <c r="G46" s="75">
        <f t="shared" si="29"/>
        <v>2940.6</v>
      </c>
      <c r="H46" s="76">
        <f t="shared" si="30"/>
        <v>2940.6</v>
      </c>
      <c r="I46" s="77">
        <f t="shared" si="30"/>
        <v>0</v>
      </c>
      <c r="J46" s="77">
        <f t="shared" si="30"/>
        <v>0</v>
      </c>
      <c r="K46" s="77">
        <f t="shared" si="30"/>
        <v>0</v>
      </c>
      <c r="L46" s="78">
        <f t="shared" si="30"/>
        <v>0</v>
      </c>
      <c r="M46" s="78">
        <f t="shared" si="30"/>
        <v>0</v>
      </c>
      <c r="N46" s="78">
        <f t="shared" si="30"/>
        <v>0</v>
      </c>
      <c r="O46" s="78">
        <f t="shared" si="30"/>
        <v>0</v>
      </c>
      <c r="P46" s="78">
        <f t="shared" si="30"/>
        <v>0</v>
      </c>
      <c r="Q46" s="78">
        <f t="shared" si="30"/>
        <v>0</v>
      </c>
      <c r="R46" s="78">
        <f t="shared" si="31"/>
        <v>0</v>
      </c>
      <c r="S46" s="78">
        <f t="shared" si="31"/>
        <v>0</v>
      </c>
      <c r="T46" s="78">
        <f t="shared" si="31"/>
        <v>0</v>
      </c>
      <c r="U46" s="78">
        <f t="shared" si="31"/>
        <v>0</v>
      </c>
      <c r="V46" s="78">
        <f t="shared" si="31"/>
        <v>0</v>
      </c>
      <c r="W46" s="78">
        <f t="shared" si="31"/>
        <v>0</v>
      </c>
      <c r="X46" s="78">
        <f t="shared" si="31"/>
        <v>0</v>
      </c>
      <c r="Y46" s="78">
        <f t="shared" si="31"/>
        <v>0</v>
      </c>
      <c r="Z46" s="79">
        <f>SIS064_F_Laboratoriniai1Elektrosenergi5</f>
        <v>0</v>
      </c>
      <c r="AA46" s="79">
        <f>SUM(SIS062_F_Laboratoriniai1Geriamojovande1,SIS063_F_Laboratoriniai1Geriamojovande1,SIS065_F_Laboratoriniai1Geriamojovande1)</f>
        <v>0</v>
      </c>
      <c r="AB46" s="79">
        <f>SUM(SIS062_F_Laboratoriniai1Paslaugaproduk8,SIS063_F_Laboratoriniai1Paslaugaproduk8,SIS065_F_Laboratoriniai1Paslaugaproduk8)</f>
        <v>0</v>
      </c>
      <c r="AC46" s="79">
        <f>SIS064_F_Laboratoriniai1Elektrosenergi6</f>
        <v>0</v>
      </c>
      <c r="AD46" s="79">
        <f>SUM(SIS062_F_Laboratoriniai1Paslaugaproduk9,SIS063_F_Laboratoriniai1Paslaugaproduk9,SIS065_F_Laboratoriniai1Paslaugaproduk9)</f>
        <v>0</v>
      </c>
      <c r="AE46" s="80">
        <v>2940.6</v>
      </c>
      <c r="AF46" s="81">
        <v>0</v>
      </c>
      <c r="AG46" s="81">
        <v>0</v>
      </c>
      <c r="AH46" s="81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3">
        <v>0</v>
      </c>
      <c r="AW46" s="80"/>
      <c r="AX46" s="81"/>
      <c r="AY46" s="81"/>
      <c r="AZ46" s="81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3"/>
      <c r="BO46" s="80"/>
      <c r="BP46" s="81"/>
      <c r="BQ46" s="81"/>
      <c r="BR46" s="81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3"/>
      <c r="CG46" s="80"/>
      <c r="CH46" s="81"/>
      <c r="CI46" s="81"/>
      <c r="CJ46" s="81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3"/>
      <c r="CY46" s="80"/>
      <c r="CZ46" s="81"/>
      <c r="DA46" s="81"/>
      <c r="DB46" s="81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3"/>
      <c r="DQ46" s="80"/>
      <c r="DR46" s="81"/>
      <c r="DS46" s="81"/>
      <c r="DT46" s="81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3"/>
      <c r="EI46" s="80"/>
      <c r="EJ46" s="81"/>
      <c r="EK46" s="81"/>
      <c r="EL46" s="81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3"/>
    </row>
    <row r="47" spans="1:156">
      <c r="A47" s="11"/>
      <c r="B47" s="103" t="s">
        <v>77</v>
      </c>
      <c r="C47" s="98" t="s">
        <v>78</v>
      </c>
      <c r="D47" s="106"/>
      <c r="E47" s="106"/>
      <c r="F47" s="107"/>
      <c r="G47" s="75">
        <f t="shared" si="29"/>
        <v>0</v>
      </c>
      <c r="H47" s="76">
        <f t="shared" si="30"/>
        <v>0</v>
      </c>
      <c r="I47" s="77">
        <f t="shared" si="30"/>
        <v>0</v>
      </c>
      <c r="J47" s="77">
        <f t="shared" si="30"/>
        <v>0</v>
      </c>
      <c r="K47" s="77">
        <f t="shared" si="30"/>
        <v>0</v>
      </c>
      <c r="L47" s="78">
        <f t="shared" si="30"/>
        <v>0</v>
      </c>
      <c r="M47" s="78">
        <f t="shared" si="30"/>
        <v>0</v>
      </c>
      <c r="N47" s="78">
        <f t="shared" si="30"/>
        <v>0</v>
      </c>
      <c r="O47" s="78">
        <f t="shared" si="30"/>
        <v>0</v>
      </c>
      <c r="P47" s="78">
        <f t="shared" si="30"/>
        <v>0</v>
      </c>
      <c r="Q47" s="78">
        <f t="shared" si="30"/>
        <v>0</v>
      </c>
      <c r="R47" s="78">
        <f t="shared" si="31"/>
        <v>0</v>
      </c>
      <c r="S47" s="78">
        <f t="shared" si="31"/>
        <v>0</v>
      </c>
      <c r="T47" s="78">
        <f t="shared" si="31"/>
        <v>0</v>
      </c>
      <c r="U47" s="78">
        <f t="shared" si="31"/>
        <v>0</v>
      </c>
      <c r="V47" s="78">
        <f t="shared" si="31"/>
        <v>0</v>
      </c>
      <c r="W47" s="78">
        <f t="shared" si="31"/>
        <v>0</v>
      </c>
      <c r="X47" s="78">
        <f t="shared" si="31"/>
        <v>0</v>
      </c>
      <c r="Y47" s="78">
        <f t="shared" si="31"/>
        <v>0</v>
      </c>
      <c r="Z47" s="79">
        <f>SIS064_F_Cheminesmedzia1Elektrosenergi5</f>
        <v>0</v>
      </c>
      <c r="AA47" s="79">
        <f>SUM(SIS062_F_Cheminesmedzia1Geriamojovande1,SIS063_F_Cheminesmedzia1Geriamojovande1,SIS065_F_Cheminesmedzia1Geriamojovande1)</f>
        <v>0</v>
      </c>
      <c r="AB47" s="79">
        <f>SUM(SIS062_F_Cheminesmedzia1Paslaugaproduk8,SIS063_F_Cheminesmedzia1Paslaugaproduk8,SIS065_F_Cheminesmedzia1Paslaugaproduk8)</f>
        <v>0</v>
      </c>
      <c r="AC47" s="79">
        <f>SIS064_F_Cheminesmedzia1Elektrosenergi6</f>
        <v>0</v>
      </c>
      <c r="AD47" s="79">
        <f>SUM(SIS062_F_Cheminesmedzia1Paslaugaproduk9,SIS063_F_Cheminesmedzia1Paslaugaproduk9,SIS065_F_Cheminesmedzia1Paslaugaproduk9)</f>
        <v>0</v>
      </c>
      <c r="AE47" s="80">
        <v>0</v>
      </c>
      <c r="AF47" s="81">
        <v>0</v>
      </c>
      <c r="AG47" s="81">
        <v>0</v>
      </c>
      <c r="AH47" s="81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3">
        <v>0</v>
      </c>
      <c r="AW47" s="80"/>
      <c r="AX47" s="81"/>
      <c r="AY47" s="81"/>
      <c r="AZ47" s="81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3"/>
      <c r="BO47" s="80"/>
      <c r="BP47" s="81"/>
      <c r="BQ47" s="81"/>
      <c r="BR47" s="81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3"/>
      <c r="CG47" s="80"/>
      <c r="CH47" s="81"/>
      <c r="CI47" s="81"/>
      <c r="CJ47" s="81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3"/>
      <c r="CY47" s="80"/>
      <c r="CZ47" s="81"/>
      <c r="DA47" s="81"/>
      <c r="DB47" s="81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3"/>
      <c r="DQ47" s="80"/>
      <c r="DR47" s="81"/>
      <c r="DS47" s="81"/>
      <c r="DT47" s="81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3"/>
      <c r="EI47" s="80"/>
      <c r="EJ47" s="81"/>
      <c r="EK47" s="81"/>
      <c r="EL47" s="81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3"/>
    </row>
    <row r="48" spans="1:156">
      <c r="A48" s="11"/>
      <c r="B48" s="103" t="s">
        <v>79</v>
      </c>
      <c r="C48" s="104" t="str">
        <f>SIS055_D_Kitoskintamosi2</f>
        <v>Kitos kintamosios sąnaudos (nurodyti)</v>
      </c>
      <c r="D48" s="104"/>
      <c r="E48" s="104"/>
      <c r="F48" s="105"/>
      <c r="G48" s="75">
        <f t="shared" si="29"/>
        <v>0</v>
      </c>
      <c r="H48" s="76">
        <f t="shared" si="30"/>
        <v>0</v>
      </c>
      <c r="I48" s="77">
        <f t="shared" si="30"/>
        <v>0</v>
      </c>
      <c r="J48" s="77">
        <f t="shared" si="30"/>
        <v>0</v>
      </c>
      <c r="K48" s="77">
        <f t="shared" si="30"/>
        <v>0</v>
      </c>
      <c r="L48" s="78">
        <f t="shared" si="30"/>
        <v>0</v>
      </c>
      <c r="M48" s="78">
        <f t="shared" si="30"/>
        <v>0</v>
      </c>
      <c r="N48" s="78">
        <f t="shared" si="30"/>
        <v>0</v>
      </c>
      <c r="O48" s="78">
        <f t="shared" si="30"/>
        <v>0</v>
      </c>
      <c r="P48" s="78">
        <f t="shared" si="30"/>
        <v>0</v>
      </c>
      <c r="Q48" s="78">
        <f t="shared" si="30"/>
        <v>0</v>
      </c>
      <c r="R48" s="78">
        <f t="shared" si="31"/>
        <v>0</v>
      </c>
      <c r="S48" s="78">
        <f t="shared" si="31"/>
        <v>0</v>
      </c>
      <c r="T48" s="78">
        <f t="shared" si="31"/>
        <v>0</v>
      </c>
      <c r="U48" s="78">
        <f t="shared" si="31"/>
        <v>0</v>
      </c>
      <c r="V48" s="78">
        <f t="shared" si="31"/>
        <v>0</v>
      </c>
      <c r="W48" s="78">
        <f t="shared" si="31"/>
        <v>0</v>
      </c>
      <c r="X48" s="78">
        <f t="shared" si="31"/>
        <v>0</v>
      </c>
      <c r="Y48" s="78">
        <f t="shared" si="31"/>
        <v>0</v>
      </c>
      <c r="Z48" s="79">
        <f>SIS064_F_Kitoskintamosi2Elektrosenergi5</f>
        <v>0</v>
      </c>
      <c r="AA48" s="79">
        <f>SUM(SIS062_F_Kitoskintamosi2Geriamojovande1,SIS063_F_Kitoskintamosi2Geriamojovande1,SIS065_F_Kitoskintamosi2Geriamojovande1)</f>
        <v>0</v>
      </c>
      <c r="AB48" s="79">
        <f>SUM(SIS062_F_Kitoskintamosi2Paslaugaproduk8,SIS063_F_Kitoskintamosi2Paslaugaproduk8,SIS065_F_Kitoskintamosi2Paslaugaproduk8)</f>
        <v>0</v>
      </c>
      <c r="AC48" s="79">
        <f>SIS064_F_Kitoskintamosi2Elektrosenergi6</f>
        <v>0</v>
      </c>
      <c r="AD48" s="79">
        <f>SUM(SIS062_F_Kitoskintamosi2Paslaugaproduk9,SIS063_F_Kitoskintamosi2Paslaugaproduk9,SIS065_F_Kitoskintamosi2Paslaugaproduk9)</f>
        <v>0</v>
      </c>
      <c r="AE48" s="80">
        <v>0</v>
      </c>
      <c r="AF48" s="81">
        <v>0</v>
      </c>
      <c r="AG48" s="81">
        <v>0</v>
      </c>
      <c r="AH48" s="81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3">
        <v>0</v>
      </c>
      <c r="AW48" s="80"/>
      <c r="AX48" s="81"/>
      <c r="AY48" s="81"/>
      <c r="AZ48" s="81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3"/>
      <c r="BO48" s="80"/>
      <c r="BP48" s="81"/>
      <c r="BQ48" s="81"/>
      <c r="BR48" s="81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3"/>
      <c r="CG48" s="80"/>
      <c r="CH48" s="81"/>
      <c r="CI48" s="81"/>
      <c r="CJ48" s="81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3"/>
      <c r="CY48" s="80"/>
      <c r="CZ48" s="81"/>
      <c r="DA48" s="81"/>
      <c r="DB48" s="81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3"/>
      <c r="DQ48" s="80"/>
      <c r="DR48" s="81"/>
      <c r="DS48" s="81"/>
      <c r="DT48" s="81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3"/>
      <c r="EI48" s="80"/>
      <c r="EJ48" s="81"/>
      <c r="EK48" s="81"/>
      <c r="EL48" s="81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3"/>
    </row>
    <row r="49" spans="1:156">
      <c r="A49" s="11"/>
      <c r="B49" s="103" t="s">
        <v>80</v>
      </c>
      <c r="C49" s="104" t="str">
        <f>SIS055_D_Kitoskintamosi3</f>
        <v>Kitos kintamosios sąnaudos (nurodyti)</v>
      </c>
      <c r="D49" s="104"/>
      <c r="E49" s="104"/>
      <c r="F49" s="105"/>
      <c r="G49" s="75">
        <f t="shared" si="29"/>
        <v>0</v>
      </c>
      <c r="H49" s="76">
        <f t="shared" si="30"/>
        <v>0</v>
      </c>
      <c r="I49" s="77">
        <f t="shared" si="30"/>
        <v>0</v>
      </c>
      <c r="J49" s="77">
        <f t="shared" si="30"/>
        <v>0</v>
      </c>
      <c r="K49" s="77">
        <f t="shared" si="30"/>
        <v>0</v>
      </c>
      <c r="L49" s="78">
        <f t="shared" si="30"/>
        <v>0</v>
      </c>
      <c r="M49" s="78">
        <f t="shared" si="30"/>
        <v>0</v>
      </c>
      <c r="N49" s="78">
        <f t="shared" si="30"/>
        <v>0</v>
      </c>
      <c r="O49" s="78">
        <f t="shared" si="30"/>
        <v>0</v>
      </c>
      <c r="P49" s="78">
        <f t="shared" si="30"/>
        <v>0</v>
      </c>
      <c r="Q49" s="78">
        <f t="shared" si="30"/>
        <v>0</v>
      </c>
      <c r="R49" s="78">
        <f t="shared" si="31"/>
        <v>0</v>
      </c>
      <c r="S49" s="78">
        <f t="shared" si="31"/>
        <v>0</v>
      </c>
      <c r="T49" s="78">
        <f t="shared" si="31"/>
        <v>0</v>
      </c>
      <c r="U49" s="78">
        <f t="shared" si="31"/>
        <v>0</v>
      </c>
      <c r="V49" s="78">
        <f t="shared" si="31"/>
        <v>0</v>
      </c>
      <c r="W49" s="78">
        <f t="shared" si="31"/>
        <v>0</v>
      </c>
      <c r="X49" s="78">
        <f t="shared" si="31"/>
        <v>0</v>
      </c>
      <c r="Y49" s="78">
        <f t="shared" si="31"/>
        <v>0</v>
      </c>
      <c r="Z49" s="79">
        <f>SIS064_F_Kitoskintamosi3Elektrosenergi5</f>
        <v>0</v>
      </c>
      <c r="AA49" s="79">
        <f>SUM(SIS062_F_Kitoskintamosi3Geriamojovande1,SIS063_F_Kitoskintamosi3Geriamojovande1,SIS065_F_Kitoskintamosi3Geriamojovande1)</f>
        <v>0</v>
      </c>
      <c r="AB49" s="79">
        <f>SUM(SIS062_F_Kitoskintamosi3Paslaugaproduk8,SIS063_F_Kitoskintamosi3Paslaugaproduk8,SIS065_F_Kitoskintamosi3Paslaugaproduk8)</f>
        <v>0</v>
      </c>
      <c r="AC49" s="79">
        <f>SIS064_F_Kitoskintamosi3Elektrosenergi6</f>
        <v>0</v>
      </c>
      <c r="AD49" s="79">
        <f>SUM(SIS062_F_Kitoskintamosi3Paslaugaproduk9,SIS063_F_Kitoskintamosi3Paslaugaproduk9,SIS065_F_Kitoskintamosi3Paslaugaproduk9)</f>
        <v>0</v>
      </c>
      <c r="AE49" s="80">
        <v>0</v>
      </c>
      <c r="AF49" s="81">
        <v>0</v>
      </c>
      <c r="AG49" s="81">
        <v>0</v>
      </c>
      <c r="AH49" s="81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3">
        <v>0</v>
      </c>
      <c r="AW49" s="80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3"/>
      <c r="BO49" s="80"/>
      <c r="BP49" s="81"/>
      <c r="BQ49" s="81"/>
      <c r="BR49" s="81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3"/>
      <c r="CG49" s="80"/>
      <c r="CH49" s="81"/>
      <c r="CI49" s="81"/>
      <c r="CJ49" s="81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3"/>
      <c r="CY49" s="80"/>
      <c r="CZ49" s="81"/>
      <c r="DA49" s="81"/>
      <c r="DB49" s="81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3"/>
      <c r="DQ49" s="80"/>
      <c r="DR49" s="81"/>
      <c r="DS49" s="81"/>
      <c r="DT49" s="81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3"/>
      <c r="EI49" s="80"/>
      <c r="EJ49" s="81"/>
      <c r="EK49" s="81"/>
      <c r="EL49" s="81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3"/>
    </row>
    <row r="50" spans="1:156">
      <c r="A50" s="11"/>
      <c r="B50" s="84" t="s">
        <v>81</v>
      </c>
      <c r="C50" s="109" t="s">
        <v>82</v>
      </c>
      <c r="D50" s="110"/>
      <c r="E50" s="110"/>
      <c r="F50" s="111"/>
      <c r="G50" s="101">
        <f t="shared" ref="G50:AD50" si="32">SUM(G51:G77)</f>
        <v>273630.96240118251</v>
      </c>
      <c r="H50" s="88">
        <f t="shared" si="32"/>
        <v>187268.95687550519</v>
      </c>
      <c r="I50" s="89">
        <f t="shared" si="32"/>
        <v>0</v>
      </c>
      <c r="J50" s="89">
        <f t="shared" si="32"/>
        <v>4.6277194408087044E-3</v>
      </c>
      <c r="K50" s="89">
        <f t="shared" si="32"/>
        <v>0</v>
      </c>
      <c r="L50" s="90">
        <f t="shared" si="32"/>
        <v>0</v>
      </c>
      <c r="M50" s="90">
        <f t="shared" si="32"/>
        <v>85537.518739829349</v>
      </c>
      <c r="N50" s="90">
        <f t="shared" si="32"/>
        <v>0</v>
      </c>
      <c r="O50" s="90">
        <f t="shared" si="32"/>
        <v>0</v>
      </c>
      <c r="P50" s="90">
        <f t="shared" si="32"/>
        <v>225.42657707064902</v>
      </c>
      <c r="Q50" s="90">
        <f t="shared" si="32"/>
        <v>73.757479233520314</v>
      </c>
      <c r="R50" s="90">
        <f t="shared" si="32"/>
        <v>0</v>
      </c>
      <c r="S50" s="90">
        <f t="shared" si="32"/>
        <v>5.2013141052717575</v>
      </c>
      <c r="T50" s="90">
        <f t="shared" si="32"/>
        <v>0</v>
      </c>
      <c r="U50" s="90">
        <f t="shared" si="32"/>
        <v>0</v>
      </c>
      <c r="V50" s="90">
        <f t="shared" si="32"/>
        <v>0</v>
      </c>
      <c r="W50" s="90">
        <f t="shared" si="32"/>
        <v>0</v>
      </c>
      <c r="X50" s="90">
        <f t="shared" si="32"/>
        <v>0</v>
      </c>
      <c r="Y50" s="90">
        <f t="shared" si="32"/>
        <v>0</v>
      </c>
      <c r="Z50" s="90">
        <f t="shared" si="32"/>
        <v>0</v>
      </c>
      <c r="AA50" s="90">
        <f t="shared" si="32"/>
        <v>0</v>
      </c>
      <c r="AB50" s="90">
        <f t="shared" si="32"/>
        <v>0</v>
      </c>
      <c r="AC50" s="90">
        <f t="shared" si="32"/>
        <v>0</v>
      </c>
      <c r="AD50" s="90">
        <f t="shared" si="32"/>
        <v>520.09678771907681</v>
      </c>
      <c r="AE50" s="88">
        <f t="shared" ref="AE50:CP50" si="33">SUM(AE51:AE77)</f>
        <v>187268.95687550519</v>
      </c>
      <c r="AF50" s="89">
        <f t="shared" si="33"/>
        <v>0</v>
      </c>
      <c r="AG50" s="89">
        <f t="shared" si="33"/>
        <v>4.6277194408087044E-3</v>
      </c>
      <c r="AH50" s="89">
        <f t="shared" si="33"/>
        <v>0</v>
      </c>
      <c r="AI50" s="90">
        <f t="shared" si="33"/>
        <v>0</v>
      </c>
      <c r="AJ50" s="90">
        <f t="shared" si="33"/>
        <v>85537.518739829349</v>
      </c>
      <c r="AK50" s="90">
        <f t="shared" si="33"/>
        <v>0</v>
      </c>
      <c r="AL50" s="90">
        <f t="shared" si="33"/>
        <v>0</v>
      </c>
      <c r="AM50" s="90">
        <f t="shared" si="33"/>
        <v>225.42657707064902</v>
      </c>
      <c r="AN50" s="90">
        <f t="shared" si="33"/>
        <v>73.757479233520314</v>
      </c>
      <c r="AO50" s="90">
        <f t="shared" si="33"/>
        <v>0</v>
      </c>
      <c r="AP50" s="90">
        <f t="shared" si="33"/>
        <v>5.2013141052717575</v>
      </c>
      <c r="AQ50" s="90">
        <f t="shared" si="33"/>
        <v>0</v>
      </c>
      <c r="AR50" s="90">
        <f t="shared" si="33"/>
        <v>0</v>
      </c>
      <c r="AS50" s="90">
        <f t="shared" si="33"/>
        <v>0</v>
      </c>
      <c r="AT50" s="90">
        <f t="shared" si="33"/>
        <v>0</v>
      </c>
      <c r="AU50" s="90">
        <f t="shared" si="33"/>
        <v>0</v>
      </c>
      <c r="AV50" s="91">
        <f t="shared" si="33"/>
        <v>0</v>
      </c>
      <c r="AW50" s="88">
        <f t="shared" si="33"/>
        <v>0</v>
      </c>
      <c r="AX50" s="89">
        <f t="shared" si="33"/>
        <v>0</v>
      </c>
      <c r="AY50" s="89">
        <f t="shared" si="33"/>
        <v>0</v>
      </c>
      <c r="AZ50" s="89">
        <f t="shared" si="33"/>
        <v>0</v>
      </c>
      <c r="BA50" s="90">
        <f t="shared" si="33"/>
        <v>0</v>
      </c>
      <c r="BB50" s="90">
        <f t="shared" si="33"/>
        <v>0</v>
      </c>
      <c r="BC50" s="90">
        <f t="shared" si="33"/>
        <v>0</v>
      </c>
      <c r="BD50" s="90">
        <f t="shared" si="33"/>
        <v>0</v>
      </c>
      <c r="BE50" s="90">
        <f t="shared" si="33"/>
        <v>0</v>
      </c>
      <c r="BF50" s="90">
        <f t="shared" si="33"/>
        <v>0</v>
      </c>
      <c r="BG50" s="90">
        <f t="shared" si="33"/>
        <v>0</v>
      </c>
      <c r="BH50" s="90">
        <f t="shared" si="33"/>
        <v>0</v>
      </c>
      <c r="BI50" s="90">
        <f t="shared" si="33"/>
        <v>0</v>
      </c>
      <c r="BJ50" s="90">
        <f t="shared" si="33"/>
        <v>0</v>
      </c>
      <c r="BK50" s="90">
        <f t="shared" si="33"/>
        <v>0</v>
      </c>
      <c r="BL50" s="90">
        <f t="shared" si="33"/>
        <v>0</v>
      </c>
      <c r="BM50" s="90">
        <f t="shared" si="33"/>
        <v>0</v>
      </c>
      <c r="BN50" s="91">
        <f t="shared" si="33"/>
        <v>0</v>
      </c>
      <c r="BO50" s="88">
        <f t="shared" si="33"/>
        <v>0</v>
      </c>
      <c r="BP50" s="89">
        <f t="shared" si="33"/>
        <v>0</v>
      </c>
      <c r="BQ50" s="89">
        <f t="shared" si="33"/>
        <v>0</v>
      </c>
      <c r="BR50" s="89">
        <f t="shared" si="33"/>
        <v>0</v>
      </c>
      <c r="BS50" s="90">
        <f t="shared" si="33"/>
        <v>0</v>
      </c>
      <c r="BT50" s="90">
        <f t="shared" si="33"/>
        <v>0</v>
      </c>
      <c r="BU50" s="90">
        <f t="shared" si="33"/>
        <v>0</v>
      </c>
      <c r="BV50" s="90">
        <f t="shared" si="33"/>
        <v>0</v>
      </c>
      <c r="BW50" s="90">
        <f t="shared" si="33"/>
        <v>0</v>
      </c>
      <c r="BX50" s="90">
        <f t="shared" si="33"/>
        <v>0</v>
      </c>
      <c r="BY50" s="90">
        <f t="shared" si="33"/>
        <v>0</v>
      </c>
      <c r="BZ50" s="90">
        <f t="shared" si="33"/>
        <v>0</v>
      </c>
      <c r="CA50" s="90">
        <f t="shared" si="33"/>
        <v>0</v>
      </c>
      <c r="CB50" s="90">
        <f t="shared" si="33"/>
        <v>0</v>
      </c>
      <c r="CC50" s="90">
        <f t="shared" si="33"/>
        <v>0</v>
      </c>
      <c r="CD50" s="90">
        <f t="shared" si="33"/>
        <v>0</v>
      </c>
      <c r="CE50" s="90">
        <f t="shared" si="33"/>
        <v>0</v>
      </c>
      <c r="CF50" s="91">
        <f t="shared" si="33"/>
        <v>0</v>
      </c>
      <c r="CG50" s="88">
        <f t="shared" si="33"/>
        <v>0</v>
      </c>
      <c r="CH50" s="89">
        <f t="shared" si="33"/>
        <v>0</v>
      </c>
      <c r="CI50" s="89">
        <f t="shared" si="33"/>
        <v>0</v>
      </c>
      <c r="CJ50" s="89">
        <f t="shared" si="33"/>
        <v>0</v>
      </c>
      <c r="CK50" s="90">
        <f t="shared" si="33"/>
        <v>0</v>
      </c>
      <c r="CL50" s="90">
        <f t="shared" si="33"/>
        <v>0</v>
      </c>
      <c r="CM50" s="90">
        <f t="shared" si="33"/>
        <v>0</v>
      </c>
      <c r="CN50" s="90">
        <f t="shared" si="33"/>
        <v>0</v>
      </c>
      <c r="CO50" s="90">
        <f t="shared" si="33"/>
        <v>0</v>
      </c>
      <c r="CP50" s="90">
        <f t="shared" si="33"/>
        <v>0</v>
      </c>
      <c r="CQ50" s="90">
        <f t="shared" ref="CQ50:EZ50" si="34">SUM(CQ51:CQ77)</f>
        <v>0</v>
      </c>
      <c r="CR50" s="90">
        <f t="shared" si="34"/>
        <v>0</v>
      </c>
      <c r="CS50" s="90">
        <f t="shared" si="34"/>
        <v>0</v>
      </c>
      <c r="CT50" s="90">
        <f t="shared" si="34"/>
        <v>0</v>
      </c>
      <c r="CU50" s="90">
        <f t="shared" si="34"/>
        <v>0</v>
      </c>
      <c r="CV50" s="90">
        <f t="shared" si="34"/>
        <v>0</v>
      </c>
      <c r="CW50" s="90">
        <f t="shared" si="34"/>
        <v>0</v>
      </c>
      <c r="CX50" s="91">
        <f t="shared" si="34"/>
        <v>0</v>
      </c>
      <c r="CY50" s="88">
        <f t="shared" si="34"/>
        <v>0</v>
      </c>
      <c r="CZ50" s="89">
        <f t="shared" si="34"/>
        <v>0</v>
      </c>
      <c r="DA50" s="89">
        <f t="shared" si="34"/>
        <v>0</v>
      </c>
      <c r="DB50" s="89">
        <f t="shared" si="34"/>
        <v>0</v>
      </c>
      <c r="DC50" s="90">
        <f t="shared" si="34"/>
        <v>0</v>
      </c>
      <c r="DD50" s="90">
        <f t="shared" si="34"/>
        <v>0</v>
      </c>
      <c r="DE50" s="90">
        <f t="shared" si="34"/>
        <v>0</v>
      </c>
      <c r="DF50" s="90">
        <f t="shared" si="34"/>
        <v>0</v>
      </c>
      <c r="DG50" s="90">
        <f t="shared" si="34"/>
        <v>0</v>
      </c>
      <c r="DH50" s="90">
        <f t="shared" si="34"/>
        <v>0</v>
      </c>
      <c r="DI50" s="90">
        <f t="shared" si="34"/>
        <v>0</v>
      </c>
      <c r="DJ50" s="90">
        <f t="shared" si="34"/>
        <v>0</v>
      </c>
      <c r="DK50" s="90">
        <f t="shared" si="34"/>
        <v>0</v>
      </c>
      <c r="DL50" s="90">
        <f t="shared" si="34"/>
        <v>0</v>
      </c>
      <c r="DM50" s="90">
        <f t="shared" si="34"/>
        <v>0</v>
      </c>
      <c r="DN50" s="90">
        <f t="shared" si="34"/>
        <v>0</v>
      </c>
      <c r="DO50" s="90">
        <f t="shared" si="34"/>
        <v>0</v>
      </c>
      <c r="DP50" s="91">
        <f t="shared" si="34"/>
        <v>0</v>
      </c>
      <c r="DQ50" s="88">
        <f t="shared" si="34"/>
        <v>0</v>
      </c>
      <c r="DR50" s="89">
        <f t="shared" si="34"/>
        <v>0</v>
      </c>
      <c r="DS50" s="89">
        <f t="shared" si="34"/>
        <v>0</v>
      </c>
      <c r="DT50" s="89">
        <f t="shared" si="34"/>
        <v>0</v>
      </c>
      <c r="DU50" s="90">
        <f t="shared" si="34"/>
        <v>0</v>
      </c>
      <c r="DV50" s="90">
        <f t="shared" si="34"/>
        <v>0</v>
      </c>
      <c r="DW50" s="90">
        <f t="shared" si="34"/>
        <v>0</v>
      </c>
      <c r="DX50" s="90">
        <f t="shared" si="34"/>
        <v>0</v>
      </c>
      <c r="DY50" s="90">
        <f t="shared" si="34"/>
        <v>0</v>
      </c>
      <c r="DZ50" s="90">
        <f t="shared" si="34"/>
        <v>0</v>
      </c>
      <c r="EA50" s="90">
        <f t="shared" si="34"/>
        <v>0</v>
      </c>
      <c r="EB50" s="90">
        <f t="shared" si="34"/>
        <v>0</v>
      </c>
      <c r="EC50" s="90">
        <f t="shared" si="34"/>
        <v>0</v>
      </c>
      <c r="ED50" s="90">
        <f t="shared" si="34"/>
        <v>0</v>
      </c>
      <c r="EE50" s="90">
        <f t="shared" si="34"/>
        <v>0</v>
      </c>
      <c r="EF50" s="90">
        <f t="shared" si="34"/>
        <v>0</v>
      </c>
      <c r="EG50" s="90">
        <f t="shared" si="34"/>
        <v>0</v>
      </c>
      <c r="EH50" s="91">
        <f t="shared" si="34"/>
        <v>0</v>
      </c>
      <c r="EI50" s="88">
        <f t="shared" si="34"/>
        <v>0</v>
      </c>
      <c r="EJ50" s="89">
        <f t="shared" si="34"/>
        <v>0</v>
      </c>
      <c r="EK50" s="89">
        <f t="shared" si="34"/>
        <v>0</v>
      </c>
      <c r="EL50" s="89">
        <f t="shared" si="34"/>
        <v>0</v>
      </c>
      <c r="EM50" s="90">
        <f t="shared" si="34"/>
        <v>0</v>
      </c>
      <c r="EN50" s="90">
        <f t="shared" si="34"/>
        <v>0</v>
      </c>
      <c r="EO50" s="90">
        <f t="shared" si="34"/>
        <v>0</v>
      </c>
      <c r="EP50" s="90">
        <f t="shared" si="34"/>
        <v>0</v>
      </c>
      <c r="EQ50" s="90">
        <f t="shared" si="34"/>
        <v>0</v>
      </c>
      <c r="ER50" s="90">
        <f t="shared" si="34"/>
        <v>0</v>
      </c>
      <c r="ES50" s="90">
        <f t="shared" si="34"/>
        <v>0</v>
      </c>
      <c r="ET50" s="90">
        <f t="shared" si="34"/>
        <v>0</v>
      </c>
      <c r="EU50" s="90">
        <f t="shared" si="34"/>
        <v>0</v>
      </c>
      <c r="EV50" s="90">
        <f t="shared" si="34"/>
        <v>0</v>
      </c>
      <c r="EW50" s="90">
        <f t="shared" si="34"/>
        <v>0</v>
      </c>
      <c r="EX50" s="90">
        <f t="shared" si="34"/>
        <v>0</v>
      </c>
      <c r="EY50" s="90">
        <f t="shared" si="34"/>
        <v>0</v>
      </c>
      <c r="EZ50" s="91">
        <f t="shared" si="34"/>
        <v>0</v>
      </c>
    </row>
    <row r="51" spans="1:156">
      <c r="A51" s="11"/>
      <c r="B51" s="112" t="s">
        <v>83</v>
      </c>
      <c r="C51" s="92" t="s">
        <v>84</v>
      </c>
      <c r="D51" s="93"/>
      <c r="E51" s="93"/>
      <c r="F51" s="94"/>
      <c r="G51" s="75">
        <f t="shared" ref="G51:G77" si="35">SUM(H51:AD51)</f>
        <v>0</v>
      </c>
      <c r="H51" s="76">
        <f t="shared" ref="H51:W66" si="36">SUM(AE51,AW51,BO51,CG51,CY51,DQ51,EI51)</f>
        <v>0</v>
      </c>
      <c r="I51" s="77">
        <f t="shared" si="36"/>
        <v>0</v>
      </c>
      <c r="J51" s="77">
        <f t="shared" si="36"/>
        <v>0</v>
      </c>
      <c r="K51" s="77">
        <f t="shared" si="36"/>
        <v>0</v>
      </c>
      <c r="L51" s="78">
        <f t="shared" si="36"/>
        <v>0</v>
      </c>
      <c r="M51" s="78">
        <f t="shared" si="36"/>
        <v>0</v>
      </c>
      <c r="N51" s="78">
        <f t="shared" si="36"/>
        <v>0</v>
      </c>
      <c r="O51" s="78">
        <f t="shared" si="36"/>
        <v>0</v>
      </c>
      <c r="P51" s="78">
        <f t="shared" si="36"/>
        <v>0</v>
      </c>
      <c r="Q51" s="78">
        <f t="shared" si="36"/>
        <v>0</v>
      </c>
      <c r="R51" s="78">
        <f t="shared" si="36"/>
        <v>0</v>
      </c>
      <c r="S51" s="78">
        <f t="shared" si="36"/>
        <v>0</v>
      </c>
      <c r="T51" s="78">
        <f t="shared" si="36"/>
        <v>0</v>
      </c>
      <c r="U51" s="78">
        <f t="shared" si="36"/>
        <v>0</v>
      </c>
      <c r="V51" s="78">
        <f t="shared" si="36"/>
        <v>0</v>
      </c>
      <c r="W51" s="78">
        <f t="shared" si="36"/>
        <v>0</v>
      </c>
      <c r="X51" s="78">
        <f t="shared" ref="X51:Y77" si="37">SUM(AU51,BM51,CE51,CW51,DO51,EG51,EY51)</f>
        <v>0</v>
      </c>
      <c r="Y51" s="78">
        <f t="shared" si="37"/>
        <v>0</v>
      </c>
      <c r="Z51" s="79">
        <f>SIS064_F_Pletrosdarbunu1Elektrosenergi5</f>
        <v>0</v>
      </c>
      <c r="AA51" s="79">
        <f>SUM(SIS062_F_Pletrosdarbunu1Geriamojovande1,SIS063_F_Pletrosdarbunu1Geriamojovande1,SIS065_F_Pletrosdarbunu1Geriamojovande1)</f>
        <v>0</v>
      </c>
      <c r="AB51" s="79">
        <f>SUM(SIS062_F_Pletrosdarbunu1Paslaugaproduk8,SIS063_F_Pletrosdarbunu1Paslaugaproduk8,SIS065_F_Pletrosdarbunu1Paslaugaproduk8)</f>
        <v>0</v>
      </c>
      <c r="AC51" s="79">
        <f>SIS064_F_Pletrosdarbunu1Elektrosenergi6</f>
        <v>0</v>
      </c>
      <c r="AD51" s="79">
        <f>SUM(SIS062_F_Pletrosdarbunu1Paslaugaproduk9,SIS063_F_Pletrosdarbunu1Paslaugaproduk9,SIS065_F_Pletrosdarbunu1Paslaugaproduk9)</f>
        <v>0</v>
      </c>
      <c r="AE51" s="80">
        <v>0</v>
      </c>
      <c r="AF51" s="81">
        <v>0</v>
      </c>
      <c r="AG51" s="81">
        <v>0</v>
      </c>
      <c r="AH51" s="81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3">
        <v>0</v>
      </c>
      <c r="AW51" s="80"/>
      <c r="AX51" s="81"/>
      <c r="AY51" s="81"/>
      <c r="AZ51" s="81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  <c r="BO51" s="80"/>
      <c r="BP51" s="81"/>
      <c r="BQ51" s="81"/>
      <c r="BR51" s="81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3"/>
      <c r="CG51" s="80"/>
      <c r="CH51" s="81"/>
      <c r="CI51" s="81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3"/>
      <c r="CY51" s="80"/>
      <c r="CZ51" s="81"/>
      <c r="DA51" s="81"/>
      <c r="DB51" s="81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3"/>
      <c r="DQ51" s="80"/>
      <c r="DR51" s="81"/>
      <c r="DS51" s="81"/>
      <c r="DT51" s="81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3"/>
      <c r="EI51" s="80"/>
      <c r="EJ51" s="81"/>
      <c r="EK51" s="81"/>
      <c r="EL51" s="81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3"/>
    </row>
    <row r="52" spans="1:156">
      <c r="A52" s="11"/>
      <c r="B52" s="112" t="s">
        <v>85</v>
      </c>
      <c r="C52" s="92" t="s">
        <v>86</v>
      </c>
      <c r="D52" s="93"/>
      <c r="E52" s="93"/>
      <c r="F52" s="94"/>
      <c r="G52" s="75">
        <f t="shared" si="35"/>
        <v>0</v>
      </c>
      <c r="H52" s="76">
        <f t="shared" si="36"/>
        <v>0</v>
      </c>
      <c r="I52" s="77">
        <f t="shared" si="36"/>
        <v>0</v>
      </c>
      <c r="J52" s="77">
        <f t="shared" si="36"/>
        <v>0</v>
      </c>
      <c r="K52" s="77">
        <f t="shared" si="36"/>
        <v>0</v>
      </c>
      <c r="L52" s="78">
        <f t="shared" si="36"/>
        <v>0</v>
      </c>
      <c r="M52" s="78">
        <f t="shared" si="36"/>
        <v>0</v>
      </c>
      <c r="N52" s="78">
        <f t="shared" si="36"/>
        <v>0</v>
      </c>
      <c r="O52" s="78">
        <f t="shared" si="36"/>
        <v>0</v>
      </c>
      <c r="P52" s="78">
        <f t="shared" si="36"/>
        <v>0</v>
      </c>
      <c r="Q52" s="78">
        <f t="shared" si="36"/>
        <v>0</v>
      </c>
      <c r="R52" s="78">
        <f t="shared" si="36"/>
        <v>0</v>
      </c>
      <c r="S52" s="78">
        <f t="shared" si="36"/>
        <v>0</v>
      </c>
      <c r="T52" s="78">
        <f t="shared" si="36"/>
        <v>0</v>
      </c>
      <c r="U52" s="78">
        <f t="shared" si="36"/>
        <v>0</v>
      </c>
      <c r="V52" s="78">
        <f t="shared" si="36"/>
        <v>0</v>
      </c>
      <c r="W52" s="78">
        <f t="shared" si="36"/>
        <v>0</v>
      </c>
      <c r="X52" s="78">
        <f t="shared" si="37"/>
        <v>0</v>
      </c>
      <c r="Y52" s="78">
        <f t="shared" si="37"/>
        <v>0</v>
      </c>
      <c r="Z52" s="79">
        <f>SIS064_F_Prestizonuside1Elektrosenergi5</f>
        <v>0</v>
      </c>
      <c r="AA52" s="79">
        <f>SUM(SIS062_F_Prestizonuside1Geriamojovande1,SIS063_F_Prestizonuside1Geriamojovande1,SIS065_F_Prestizonuside1Geriamojovande1)</f>
        <v>0</v>
      </c>
      <c r="AB52" s="79">
        <f>SUM(SIS062_F_Prestizonuside1Paslaugaproduk8,SIS063_F_Prestizonuside1Paslaugaproduk8,SIS065_F_Prestizonuside1Paslaugaproduk8)</f>
        <v>0</v>
      </c>
      <c r="AC52" s="79">
        <f>SIS064_F_Prestizonuside1Elektrosenergi6</f>
        <v>0</v>
      </c>
      <c r="AD52" s="79">
        <f>SUM(SIS062_F_Prestizonuside1Paslaugaproduk9,SIS063_F_Prestizonuside1Paslaugaproduk9,SIS065_F_Prestizonuside1Paslaugaproduk9)</f>
        <v>0</v>
      </c>
      <c r="AE52" s="80">
        <v>0</v>
      </c>
      <c r="AF52" s="81">
        <v>0</v>
      </c>
      <c r="AG52" s="81">
        <v>0</v>
      </c>
      <c r="AH52" s="81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83">
        <v>0</v>
      </c>
      <c r="AW52" s="80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3"/>
      <c r="BO52" s="80"/>
      <c r="BP52" s="81"/>
      <c r="BQ52" s="81"/>
      <c r="BR52" s="81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3"/>
      <c r="CG52" s="80"/>
      <c r="CH52" s="81"/>
      <c r="CI52" s="81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3"/>
      <c r="CY52" s="80"/>
      <c r="CZ52" s="81"/>
      <c r="DA52" s="81"/>
      <c r="DB52" s="81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3"/>
      <c r="DQ52" s="80"/>
      <c r="DR52" s="81"/>
      <c r="DS52" s="81"/>
      <c r="DT52" s="81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3"/>
      <c r="EI52" s="80"/>
      <c r="EJ52" s="81"/>
      <c r="EK52" s="81"/>
      <c r="EL52" s="81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3"/>
    </row>
    <row r="53" spans="1:156">
      <c r="A53" s="11"/>
      <c r="B53" s="112" t="s">
        <v>87</v>
      </c>
      <c r="C53" s="92" t="s">
        <v>88</v>
      </c>
      <c r="D53" s="93"/>
      <c r="E53" s="93"/>
      <c r="F53" s="94"/>
      <c r="G53" s="75">
        <f t="shared" si="35"/>
        <v>0</v>
      </c>
      <c r="H53" s="76">
        <f t="shared" si="36"/>
        <v>0</v>
      </c>
      <c r="I53" s="77">
        <f t="shared" si="36"/>
        <v>0</v>
      </c>
      <c r="J53" s="77">
        <f t="shared" si="36"/>
        <v>0</v>
      </c>
      <c r="K53" s="77">
        <f t="shared" si="36"/>
        <v>0</v>
      </c>
      <c r="L53" s="78">
        <f t="shared" si="36"/>
        <v>0</v>
      </c>
      <c r="M53" s="78">
        <f t="shared" si="36"/>
        <v>0</v>
      </c>
      <c r="N53" s="78">
        <f t="shared" si="36"/>
        <v>0</v>
      </c>
      <c r="O53" s="78">
        <f t="shared" si="36"/>
        <v>0</v>
      </c>
      <c r="P53" s="78">
        <f t="shared" si="36"/>
        <v>0</v>
      </c>
      <c r="Q53" s="78">
        <f t="shared" si="36"/>
        <v>0</v>
      </c>
      <c r="R53" s="78">
        <f t="shared" si="36"/>
        <v>0</v>
      </c>
      <c r="S53" s="78">
        <f t="shared" si="36"/>
        <v>0</v>
      </c>
      <c r="T53" s="78">
        <f t="shared" si="36"/>
        <v>0</v>
      </c>
      <c r="U53" s="78">
        <f t="shared" si="36"/>
        <v>0</v>
      </c>
      <c r="V53" s="78">
        <f t="shared" si="36"/>
        <v>0</v>
      </c>
      <c r="W53" s="78">
        <f t="shared" si="36"/>
        <v>0</v>
      </c>
      <c r="X53" s="78">
        <f t="shared" si="37"/>
        <v>0</v>
      </c>
      <c r="Y53" s="78">
        <f t="shared" si="37"/>
        <v>0</v>
      </c>
      <c r="Z53" s="79">
        <f>SIS064_F_Patentulicenci1Elektrosenergi5</f>
        <v>0</v>
      </c>
      <c r="AA53" s="79">
        <f>SUM(SIS062_F_Patentulicenci1Geriamojovande1,SIS063_F_Patentulicenci1Geriamojovande1,SIS065_F_Patentulicenci1Geriamojovande1)</f>
        <v>0</v>
      </c>
      <c r="AB53" s="79">
        <f>SUM(SIS062_F_Patentulicenci1Paslaugaproduk8,SIS063_F_Patentulicenci1Paslaugaproduk8,SIS065_F_Patentulicenci1Paslaugaproduk8)</f>
        <v>0</v>
      </c>
      <c r="AC53" s="79">
        <f>SIS064_F_Patentulicenci1Elektrosenergi6</f>
        <v>0</v>
      </c>
      <c r="AD53" s="79">
        <f>SUM(SIS062_F_Patentulicenci1Paslaugaproduk9,SIS063_F_Patentulicenci1Paslaugaproduk9,SIS065_F_Patentulicenci1Paslaugaproduk9)</f>
        <v>0</v>
      </c>
      <c r="AE53" s="80">
        <v>0</v>
      </c>
      <c r="AF53" s="81">
        <v>0</v>
      </c>
      <c r="AG53" s="81">
        <v>0</v>
      </c>
      <c r="AH53" s="81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3">
        <v>0</v>
      </c>
      <c r="AW53" s="80"/>
      <c r="AX53" s="81"/>
      <c r="AY53" s="81"/>
      <c r="AZ53" s="81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3"/>
      <c r="BO53" s="80"/>
      <c r="BP53" s="81"/>
      <c r="BQ53" s="81"/>
      <c r="BR53" s="81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3"/>
      <c r="CG53" s="80"/>
      <c r="CH53" s="81"/>
      <c r="CI53" s="81"/>
      <c r="CJ53" s="81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3"/>
      <c r="CY53" s="80"/>
      <c r="CZ53" s="81"/>
      <c r="DA53" s="81"/>
      <c r="DB53" s="81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3"/>
      <c r="DQ53" s="80"/>
      <c r="DR53" s="81"/>
      <c r="DS53" s="81"/>
      <c r="DT53" s="81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3"/>
      <c r="EI53" s="80"/>
      <c r="EJ53" s="81"/>
      <c r="EK53" s="81"/>
      <c r="EL53" s="81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3"/>
    </row>
    <row r="54" spans="1:156">
      <c r="A54" s="11"/>
      <c r="B54" s="112" t="s">
        <v>89</v>
      </c>
      <c r="C54" s="92" t="s">
        <v>90</v>
      </c>
      <c r="D54" s="93"/>
      <c r="E54" s="93"/>
      <c r="F54" s="94"/>
      <c r="G54" s="75">
        <f t="shared" si="35"/>
        <v>2970.0000000000005</v>
      </c>
      <c r="H54" s="76">
        <f t="shared" si="36"/>
        <v>1797.226841790309</v>
      </c>
      <c r="I54" s="77">
        <f t="shared" si="36"/>
        <v>0</v>
      </c>
      <c r="J54" s="77">
        <f t="shared" si="36"/>
        <v>8.0462918406545299E-6</v>
      </c>
      <c r="K54" s="77">
        <f t="shared" si="36"/>
        <v>0</v>
      </c>
      <c r="L54" s="78">
        <f t="shared" si="36"/>
        <v>0</v>
      </c>
      <c r="M54" s="78">
        <f t="shared" si="36"/>
        <v>772.98569864098408</v>
      </c>
      <c r="N54" s="78">
        <f t="shared" si="36"/>
        <v>0</v>
      </c>
      <c r="O54" s="78">
        <f t="shared" si="36"/>
        <v>0</v>
      </c>
      <c r="P54" s="78">
        <f t="shared" si="36"/>
        <v>96.353895249301473</v>
      </c>
      <c r="Q54" s="78">
        <f t="shared" si="36"/>
        <v>49.870124779987748</v>
      </c>
      <c r="R54" s="78">
        <f t="shared" si="36"/>
        <v>0</v>
      </c>
      <c r="S54" s="78">
        <f t="shared" si="36"/>
        <v>3.5167983795727213</v>
      </c>
      <c r="T54" s="78">
        <f t="shared" si="36"/>
        <v>0</v>
      </c>
      <c r="U54" s="78">
        <f t="shared" si="36"/>
        <v>0</v>
      </c>
      <c r="V54" s="78">
        <f t="shared" si="36"/>
        <v>0</v>
      </c>
      <c r="W54" s="78">
        <f t="shared" si="36"/>
        <v>0</v>
      </c>
      <c r="X54" s="78">
        <f t="shared" si="37"/>
        <v>0</v>
      </c>
      <c r="Y54" s="78">
        <f t="shared" si="37"/>
        <v>0</v>
      </c>
      <c r="Z54" s="79">
        <f>SIS064_F_Programinesira1Elektrosenergi5</f>
        <v>0</v>
      </c>
      <c r="AA54" s="79">
        <f>SUM(SIS062_F_Programinesira1Geriamojovande1,SIS063_F_Programinesira1Geriamojovande1,SIS065_F_Programinesira1Geriamojovande1)</f>
        <v>0</v>
      </c>
      <c r="AB54" s="79">
        <f>SUM(SIS062_F_Programinesira1Paslaugaproduk8,SIS063_F_Programinesira1Paslaugaproduk8,SIS065_F_Programinesira1Paslaugaproduk8)</f>
        <v>0</v>
      </c>
      <c r="AC54" s="79">
        <f>SIS064_F_Programinesira1Elektrosenergi6</f>
        <v>0</v>
      </c>
      <c r="AD54" s="79">
        <f>SUM(SIS062_F_Programinesira1Paslaugaproduk9,SIS063_F_Programinesira1Paslaugaproduk9,SIS065_F_Programinesira1Paslaugaproduk9)</f>
        <v>250.04663311355364</v>
      </c>
      <c r="AE54" s="80">
        <v>1797.226841790309</v>
      </c>
      <c r="AF54" s="81">
        <v>0</v>
      </c>
      <c r="AG54" s="81">
        <v>8.0462918406545299E-6</v>
      </c>
      <c r="AH54" s="81">
        <v>0</v>
      </c>
      <c r="AI54" s="82">
        <v>0</v>
      </c>
      <c r="AJ54" s="82">
        <v>772.98569864098408</v>
      </c>
      <c r="AK54" s="82">
        <v>0</v>
      </c>
      <c r="AL54" s="82">
        <v>0</v>
      </c>
      <c r="AM54" s="82">
        <v>96.353895249301473</v>
      </c>
      <c r="AN54" s="82">
        <v>49.870124779987748</v>
      </c>
      <c r="AO54" s="82">
        <v>0</v>
      </c>
      <c r="AP54" s="82">
        <v>3.5167983795727213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3">
        <v>0</v>
      </c>
      <c r="AW54" s="80"/>
      <c r="AX54" s="81"/>
      <c r="AY54" s="81"/>
      <c r="AZ54" s="81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3"/>
      <c r="BO54" s="80"/>
      <c r="BP54" s="81"/>
      <c r="BQ54" s="81"/>
      <c r="BR54" s="81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3"/>
      <c r="CG54" s="80"/>
      <c r="CH54" s="81"/>
      <c r="CI54" s="81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3"/>
      <c r="CY54" s="80"/>
      <c r="CZ54" s="81"/>
      <c r="DA54" s="81"/>
      <c r="DB54" s="81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3"/>
      <c r="DQ54" s="80"/>
      <c r="DR54" s="81"/>
      <c r="DS54" s="81"/>
      <c r="DT54" s="81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3"/>
      <c r="EI54" s="80"/>
      <c r="EJ54" s="81"/>
      <c r="EK54" s="81"/>
      <c r="EL54" s="81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3"/>
    </row>
    <row r="55" spans="1:156">
      <c r="A55" s="11"/>
      <c r="B55" s="112" t="s">
        <v>91</v>
      </c>
      <c r="C55" s="113" t="s">
        <v>92</v>
      </c>
      <c r="D55" s="114"/>
      <c r="E55" s="114"/>
      <c r="F55" s="115"/>
      <c r="G55" s="75">
        <f t="shared" si="35"/>
        <v>0</v>
      </c>
      <c r="H55" s="76">
        <f t="shared" si="36"/>
        <v>0</v>
      </c>
      <c r="I55" s="77">
        <f t="shared" si="36"/>
        <v>0</v>
      </c>
      <c r="J55" s="77">
        <f t="shared" si="36"/>
        <v>0</v>
      </c>
      <c r="K55" s="77">
        <f t="shared" si="36"/>
        <v>0</v>
      </c>
      <c r="L55" s="78">
        <f t="shared" si="36"/>
        <v>0</v>
      </c>
      <c r="M55" s="78">
        <f t="shared" si="36"/>
        <v>0</v>
      </c>
      <c r="N55" s="78">
        <f t="shared" si="36"/>
        <v>0</v>
      </c>
      <c r="O55" s="78">
        <f t="shared" si="36"/>
        <v>0</v>
      </c>
      <c r="P55" s="78">
        <f t="shared" si="36"/>
        <v>0</v>
      </c>
      <c r="Q55" s="78">
        <f t="shared" si="36"/>
        <v>0</v>
      </c>
      <c r="R55" s="78">
        <f t="shared" si="36"/>
        <v>0</v>
      </c>
      <c r="S55" s="78">
        <f t="shared" si="36"/>
        <v>0</v>
      </c>
      <c r="T55" s="78">
        <f t="shared" si="36"/>
        <v>0</v>
      </c>
      <c r="U55" s="78">
        <f t="shared" si="36"/>
        <v>0</v>
      </c>
      <c r="V55" s="78">
        <f t="shared" si="36"/>
        <v>0</v>
      </c>
      <c r="W55" s="78">
        <f t="shared" si="36"/>
        <v>0</v>
      </c>
      <c r="X55" s="78">
        <f t="shared" si="37"/>
        <v>0</v>
      </c>
      <c r="Y55" s="78">
        <f t="shared" si="37"/>
        <v>0</v>
      </c>
      <c r="Z55" s="79">
        <f>SIS064_F_Kitonematerial1Elektrosenergi5</f>
        <v>0</v>
      </c>
      <c r="AA55" s="79">
        <f>SUM(SIS062_F_Kitonematerial1Geriamojovande1,SIS063_F_Kitonematerial1Geriamojovande1,SIS065_F_Kitonematerial1Geriamojovande1)</f>
        <v>0</v>
      </c>
      <c r="AB55" s="79">
        <f>SUM(SIS062_F_Kitonematerial1Paslaugaproduk8,SIS063_F_Kitonematerial1Paslaugaproduk8,SIS065_F_Kitonematerial1Paslaugaproduk8)</f>
        <v>0</v>
      </c>
      <c r="AC55" s="79">
        <f>SIS064_F_Kitonematerial1Elektrosenergi6</f>
        <v>0</v>
      </c>
      <c r="AD55" s="79">
        <f>SUM(SIS062_F_Kitonematerial1Paslaugaproduk9,SIS063_F_Kitonematerial1Paslaugaproduk9,SIS065_F_Kitonematerial1Paslaugaproduk9)</f>
        <v>0</v>
      </c>
      <c r="AE55" s="80">
        <v>0</v>
      </c>
      <c r="AF55" s="81">
        <v>0</v>
      </c>
      <c r="AG55" s="81">
        <v>0</v>
      </c>
      <c r="AH55" s="81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3">
        <v>0</v>
      </c>
      <c r="AW55" s="80"/>
      <c r="AX55" s="81"/>
      <c r="AY55" s="81"/>
      <c r="AZ55" s="81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3"/>
      <c r="BO55" s="80"/>
      <c r="BP55" s="81"/>
      <c r="BQ55" s="81"/>
      <c r="BR55" s="81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3"/>
      <c r="CG55" s="80"/>
      <c r="CH55" s="81"/>
      <c r="CI55" s="81"/>
      <c r="CJ55" s="81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3"/>
      <c r="CY55" s="80"/>
      <c r="CZ55" s="81"/>
      <c r="DA55" s="81"/>
      <c r="DB55" s="81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3"/>
      <c r="DQ55" s="80"/>
      <c r="DR55" s="81"/>
      <c r="DS55" s="81"/>
      <c r="DT55" s="81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3"/>
      <c r="EI55" s="80"/>
      <c r="EJ55" s="81"/>
      <c r="EK55" s="81"/>
      <c r="EL55" s="81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3"/>
    </row>
    <row r="56" spans="1:156">
      <c r="A56" s="11"/>
      <c r="B56" s="112" t="s">
        <v>93</v>
      </c>
      <c r="C56" s="113" t="s">
        <v>94</v>
      </c>
      <c r="D56" s="114"/>
      <c r="E56" s="114"/>
      <c r="F56" s="115"/>
      <c r="G56" s="75">
        <f t="shared" si="35"/>
        <v>33182.685449490273</v>
      </c>
      <c r="H56" s="76">
        <f t="shared" si="36"/>
        <v>33182.685449490273</v>
      </c>
      <c r="I56" s="77">
        <f t="shared" si="36"/>
        <v>0</v>
      </c>
      <c r="J56" s="77">
        <f t="shared" si="36"/>
        <v>0</v>
      </c>
      <c r="K56" s="77">
        <f t="shared" si="36"/>
        <v>0</v>
      </c>
      <c r="L56" s="78">
        <f t="shared" si="36"/>
        <v>0</v>
      </c>
      <c r="M56" s="78">
        <f t="shared" si="36"/>
        <v>0</v>
      </c>
      <c r="N56" s="78">
        <f t="shared" si="36"/>
        <v>0</v>
      </c>
      <c r="O56" s="78">
        <f t="shared" si="36"/>
        <v>0</v>
      </c>
      <c r="P56" s="78">
        <f t="shared" si="36"/>
        <v>0</v>
      </c>
      <c r="Q56" s="78">
        <f t="shared" si="36"/>
        <v>0</v>
      </c>
      <c r="R56" s="78">
        <f t="shared" si="36"/>
        <v>0</v>
      </c>
      <c r="S56" s="78">
        <f t="shared" si="36"/>
        <v>0</v>
      </c>
      <c r="T56" s="78">
        <f t="shared" si="36"/>
        <v>0</v>
      </c>
      <c r="U56" s="78">
        <f t="shared" si="36"/>
        <v>0</v>
      </c>
      <c r="V56" s="78">
        <f t="shared" si="36"/>
        <v>0</v>
      </c>
      <c r="W56" s="78">
        <f t="shared" si="36"/>
        <v>0</v>
      </c>
      <c r="X56" s="78">
        <f t="shared" si="37"/>
        <v>0</v>
      </c>
      <c r="Y56" s="78">
        <f t="shared" si="37"/>
        <v>0</v>
      </c>
      <c r="Z56" s="79">
        <f>SIS064_F_Gamybinespaski1Elektrosenergi5</f>
        <v>0</v>
      </c>
      <c r="AA56" s="79">
        <f>SUM(SIS062_F_Gamybinespaski1Geriamojovande1,SIS063_F_Gamybinespaski1Geriamojovande1,SIS065_F_Gamybinespaski1Geriamojovande1)</f>
        <v>0</v>
      </c>
      <c r="AB56" s="79">
        <f>SUM(SIS062_F_Gamybinespaski1Paslaugaproduk8,SIS063_F_Gamybinespaski1Paslaugaproduk8,SIS065_F_Gamybinespaski1Paslaugaproduk8)</f>
        <v>0</v>
      </c>
      <c r="AC56" s="79">
        <f>SIS064_F_Gamybinespaski1Elektrosenergi6</f>
        <v>0</v>
      </c>
      <c r="AD56" s="79">
        <f>SUM(SIS062_F_Gamybinespaski1Paslaugaproduk9,SIS063_F_Gamybinespaski1Paslaugaproduk9,SIS065_F_Gamybinespaski1Paslaugaproduk9)</f>
        <v>0</v>
      </c>
      <c r="AE56" s="80">
        <v>33182.685449490273</v>
      </c>
      <c r="AF56" s="81">
        <v>0</v>
      </c>
      <c r="AG56" s="81">
        <v>0</v>
      </c>
      <c r="AH56" s="81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3">
        <v>0</v>
      </c>
      <c r="AW56" s="80"/>
      <c r="AX56" s="81"/>
      <c r="AY56" s="81"/>
      <c r="AZ56" s="81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3"/>
      <c r="BO56" s="80"/>
      <c r="BP56" s="81"/>
      <c r="BQ56" s="81"/>
      <c r="BR56" s="81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3"/>
      <c r="CG56" s="80"/>
      <c r="CH56" s="81"/>
      <c r="CI56" s="81"/>
      <c r="CJ56" s="81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3"/>
      <c r="CY56" s="80"/>
      <c r="CZ56" s="81"/>
      <c r="DA56" s="81"/>
      <c r="DB56" s="81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3"/>
      <c r="DQ56" s="80"/>
      <c r="DR56" s="81"/>
      <c r="DS56" s="81"/>
      <c r="DT56" s="81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3"/>
      <c r="EI56" s="80"/>
      <c r="EJ56" s="81"/>
      <c r="EK56" s="81"/>
      <c r="EL56" s="81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3"/>
    </row>
    <row r="57" spans="1:156">
      <c r="A57" s="11"/>
      <c r="B57" s="112" t="s">
        <v>95</v>
      </c>
      <c r="C57" s="113" t="s">
        <v>96</v>
      </c>
      <c r="D57" s="114"/>
      <c r="E57" s="114"/>
      <c r="F57" s="115"/>
      <c r="G57" s="75">
        <f t="shared" si="35"/>
        <v>12472.231130676551</v>
      </c>
      <c r="H57" s="76">
        <f t="shared" si="36"/>
        <v>12472.231130676551</v>
      </c>
      <c r="I57" s="77">
        <f t="shared" si="36"/>
        <v>0</v>
      </c>
      <c r="J57" s="77">
        <f t="shared" si="36"/>
        <v>0</v>
      </c>
      <c r="K57" s="77">
        <f t="shared" si="36"/>
        <v>0</v>
      </c>
      <c r="L57" s="78">
        <f t="shared" si="36"/>
        <v>0</v>
      </c>
      <c r="M57" s="78">
        <f t="shared" si="36"/>
        <v>0</v>
      </c>
      <c r="N57" s="78">
        <f t="shared" si="36"/>
        <v>0</v>
      </c>
      <c r="O57" s="78">
        <f t="shared" si="36"/>
        <v>0</v>
      </c>
      <c r="P57" s="78">
        <f t="shared" si="36"/>
        <v>0</v>
      </c>
      <c r="Q57" s="78">
        <f t="shared" si="36"/>
        <v>0</v>
      </c>
      <c r="R57" s="78">
        <f t="shared" si="36"/>
        <v>0</v>
      </c>
      <c r="S57" s="78">
        <f t="shared" si="36"/>
        <v>0</v>
      </c>
      <c r="T57" s="78">
        <f t="shared" si="36"/>
        <v>0</v>
      </c>
      <c r="U57" s="78">
        <f t="shared" si="36"/>
        <v>0</v>
      </c>
      <c r="V57" s="78">
        <f t="shared" si="36"/>
        <v>0</v>
      </c>
      <c r="W57" s="78">
        <f t="shared" si="36"/>
        <v>0</v>
      </c>
      <c r="X57" s="78">
        <f t="shared" si="37"/>
        <v>0</v>
      </c>
      <c r="Y57" s="78">
        <f t="shared" si="37"/>
        <v>0</v>
      </c>
      <c r="Z57" s="79">
        <f>SIS064_F_Gamybinespaski2Elektrosenergi5</f>
        <v>0</v>
      </c>
      <c r="AA57" s="79">
        <f>SUM(SIS062_F_Gamybinespaski2Geriamojovande1,SIS063_F_Gamybinespaski2Geriamojovande1,SIS065_F_Gamybinespaski2Geriamojovande1)</f>
        <v>0</v>
      </c>
      <c r="AB57" s="79">
        <f>SUM(SIS062_F_Gamybinespaski2Paslaugaproduk8,SIS063_F_Gamybinespaski2Paslaugaproduk8,SIS065_F_Gamybinespaski2Paslaugaproduk8)</f>
        <v>0</v>
      </c>
      <c r="AC57" s="79">
        <f>SIS064_F_Gamybinespaski2Elektrosenergi6</f>
        <v>0</v>
      </c>
      <c r="AD57" s="79">
        <f>SUM(SIS062_F_Gamybinespaski2Paslaugaproduk9,SIS063_F_Gamybinespaski2Paslaugaproduk9,SIS065_F_Gamybinespaski2Paslaugaproduk9)</f>
        <v>0</v>
      </c>
      <c r="AE57" s="80">
        <v>12472.231130676551</v>
      </c>
      <c r="AF57" s="81">
        <v>0</v>
      </c>
      <c r="AG57" s="81">
        <v>0</v>
      </c>
      <c r="AH57" s="81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83">
        <v>0</v>
      </c>
      <c r="AW57" s="80"/>
      <c r="AX57" s="81"/>
      <c r="AY57" s="81"/>
      <c r="AZ57" s="81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3"/>
      <c r="BO57" s="80"/>
      <c r="BP57" s="81"/>
      <c r="BQ57" s="81"/>
      <c r="BR57" s="81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3"/>
      <c r="CG57" s="80"/>
      <c r="CH57" s="81"/>
      <c r="CI57" s="81"/>
      <c r="CJ57" s="81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3"/>
      <c r="CY57" s="80"/>
      <c r="CZ57" s="81"/>
      <c r="DA57" s="81"/>
      <c r="DB57" s="81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3"/>
      <c r="DQ57" s="80"/>
      <c r="DR57" s="81"/>
      <c r="DS57" s="81"/>
      <c r="DT57" s="81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3"/>
      <c r="EI57" s="80"/>
      <c r="EJ57" s="81"/>
      <c r="EK57" s="81"/>
      <c r="EL57" s="81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3"/>
    </row>
    <row r="58" spans="1:156">
      <c r="A58" s="11"/>
      <c r="B58" s="112" t="s">
        <v>97</v>
      </c>
      <c r="C58" s="113" t="s">
        <v>98</v>
      </c>
      <c r="D58" s="114"/>
      <c r="E58" s="114"/>
      <c r="F58" s="115"/>
      <c r="G58" s="75">
        <f t="shared" si="35"/>
        <v>0</v>
      </c>
      <c r="H58" s="76">
        <f t="shared" si="36"/>
        <v>0</v>
      </c>
      <c r="I58" s="77">
        <f t="shared" si="36"/>
        <v>0</v>
      </c>
      <c r="J58" s="77">
        <f t="shared" si="36"/>
        <v>0</v>
      </c>
      <c r="K58" s="77">
        <f t="shared" si="36"/>
        <v>0</v>
      </c>
      <c r="L58" s="78">
        <f t="shared" si="36"/>
        <v>0</v>
      </c>
      <c r="M58" s="78">
        <f t="shared" si="36"/>
        <v>0</v>
      </c>
      <c r="N58" s="78">
        <f t="shared" si="36"/>
        <v>0</v>
      </c>
      <c r="O58" s="78">
        <f t="shared" si="36"/>
        <v>0</v>
      </c>
      <c r="P58" s="78">
        <f t="shared" si="36"/>
        <v>0</v>
      </c>
      <c r="Q58" s="78">
        <f t="shared" si="36"/>
        <v>0</v>
      </c>
      <c r="R58" s="78">
        <f t="shared" si="36"/>
        <v>0</v>
      </c>
      <c r="S58" s="78">
        <f t="shared" si="36"/>
        <v>0</v>
      </c>
      <c r="T58" s="78">
        <f t="shared" si="36"/>
        <v>0</v>
      </c>
      <c r="U58" s="78">
        <f t="shared" si="36"/>
        <v>0</v>
      </c>
      <c r="V58" s="78">
        <f t="shared" si="36"/>
        <v>0</v>
      </c>
      <c r="W58" s="78">
        <f t="shared" si="36"/>
        <v>0</v>
      </c>
      <c r="X58" s="78">
        <f t="shared" si="37"/>
        <v>0</v>
      </c>
      <c r="Y58" s="78">
        <f t="shared" si="37"/>
        <v>0</v>
      </c>
      <c r="Z58" s="79">
        <f>SIS064_F_Gamybinespaski3Elektrosenergi5</f>
        <v>0</v>
      </c>
      <c r="AA58" s="79">
        <f>SUM(SIS062_F_Gamybinespaski3Geriamojovande1,SIS063_F_Gamybinespaski3Geriamojovande1,SIS065_F_Gamybinespaski3Geriamojovande1)</f>
        <v>0</v>
      </c>
      <c r="AB58" s="79">
        <f>SUM(SIS062_F_Gamybinespaski3Paslaugaproduk8,SIS063_F_Gamybinespaski3Paslaugaproduk8,SIS065_F_Gamybinespaski3Paslaugaproduk8)</f>
        <v>0</v>
      </c>
      <c r="AC58" s="79">
        <f>SIS064_F_Gamybinespaski3Elektrosenergi6</f>
        <v>0</v>
      </c>
      <c r="AD58" s="79">
        <f>SUM(SIS062_F_Gamybinespaski3Paslaugaproduk9,SIS063_F_Gamybinespaski3Paslaugaproduk9,SIS065_F_Gamybinespaski3Paslaugaproduk9)</f>
        <v>0</v>
      </c>
      <c r="AE58" s="80">
        <v>0</v>
      </c>
      <c r="AF58" s="81">
        <v>0</v>
      </c>
      <c r="AG58" s="81">
        <v>0</v>
      </c>
      <c r="AH58" s="81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3">
        <v>0</v>
      </c>
      <c r="AW58" s="80"/>
      <c r="AX58" s="81"/>
      <c r="AY58" s="81"/>
      <c r="AZ58" s="81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3"/>
      <c r="BO58" s="80"/>
      <c r="BP58" s="81"/>
      <c r="BQ58" s="81"/>
      <c r="BR58" s="81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3"/>
      <c r="CG58" s="80"/>
      <c r="CH58" s="81"/>
      <c r="CI58" s="81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3"/>
      <c r="CY58" s="80"/>
      <c r="CZ58" s="81"/>
      <c r="DA58" s="81"/>
      <c r="DB58" s="81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3"/>
      <c r="DQ58" s="80"/>
      <c r="DR58" s="81"/>
      <c r="DS58" s="81"/>
      <c r="DT58" s="81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3"/>
      <c r="EI58" s="80"/>
      <c r="EJ58" s="81"/>
      <c r="EK58" s="81"/>
      <c r="EL58" s="81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3"/>
    </row>
    <row r="59" spans="1:156">
      <c r="A59" s="11"/>
      <c r="B59" s="103" t="s">
        <v>99</v>
      </c>
      <c r="C59" s="108" t="s">
        <v>100</v>
      </c>
      <c r="D59" s="104"/>
      <c r="E59" s="104"/>
      <c r="F59" s="116"/>
      <c r="G59" s="75">
        <f t="shared" si="35"/>
        <v>1546.1098189874883</v>
      </c>
      <c r="H59" s="76">
        <f t="shared" si="36"/>
        <v>1546.1098189874883</v>
      </c>
      <c r="I59" s="77">
        <f t="shared" si="36"/>
        <v>0</v>
      </c>
      <c r="J59" s="77">
        <f t="shared" si="36"/>
        <v>0</v>
      </c>
      <c r="K59" s="77">
        <f t="shared" si="36"/>
        <v>0</v>
      </c>
      <c r="L59" s="78">
        <f t="shared" si="36"/>
        <v>0</v>
      </c>
      <c r="M59" s="78">
        <f t="shared" si="36"/>
        <v>0</v>
      </c>
      <c r="N59" s="78">
        <f t="shared" si="36"/>
        <v>0</v>
      </c>
      <c r="O59" s="78">
        <f t="shared" si="36"/>
        <v>0</v>
      </c>
      <c r="P59" s="78">
        <f t="shared" si="36"/>
        <v>0</v>
      </c>
      <c r="Q59" s="78">
        <f t="shared" si="36"/>
        <v>0</v>
      </c>
      <c r="R59" s="78">
        <f t="shared" si="36"/>
        <v>0</v>
      </c>
      <c r="S59" s="78">
        <f t="shared" si="36"/>
        <v>0</v>
      </c>
      <c r="T59" s="78">
        <f t="shared" si="36"/>
        <v>0</v>
      </c>
      <c r="U59" s="78">
        <f t="shared" si="36"/>
        <v>0</v>
      </c>
      <c r="V59" s="78">
        <f t="shared" si="36"/>
        <v>0</v>
      </c>
      <c r="W59" s="78">
        <f t="shared" si="36"/>
        <v>0</v>
      </c>
      <c r="X59" s="78">
        <f t="shared" si="37"/>
        <v>0</v>
      </c>
      <c r="Y59" s="78">
        <f t="shared" si="37"/>
        <v>0</v>
      </c>
      <c r="Z59" s="79">
        <f>SIS064_F_Kitospaskirtie1Elektrosenergi5</f>
        <v>0</v>
      </c>
      <c r="AA59" s="79">
        <f>SUM(SIS062_F_Kitospaskirtie1Geriamojovande1,SIS063_F_Kitospaskirtie1Geriamojovande1,SIS065_F_Kitospaskirtie1Geriamojovande1)</f>
        <v>0</v>
      </c>
      <c r="AB59" s="79">
        <f>SUM(SIS062_F_Kitospaskirtie1Paslaugaproduk8,SIS063_F_Kitospaskirtie1Paslaugaproduk8,SIS065_F_Kitospaskirtie1Paslaugaproduk8)</f>
        <v>0</v>
      </c>
      <c r="AC59" s="79">
        <f>SIS064_F_Kitospaskirtie1Elektrosenergi6</f>
        <v>0</v>
      </c>
      <c r="AD59" s="79">
        <f>SUM(SIS062_F_Kitospaskirtie1Paslaugaproduk9,SIS063_F_Kitospaskirtie1Paslaugaproduk9,SIS065_F_Kitospaskirtie1Paslaugaproduk9)</f>
        <v>0</v>
      </c>
      <c r="AE59" s="80">
        <v>1546.1098189874883</v>
      </c>
      <c r="AF59" s="81">
        <v>0</v>
      </c>
      <c r="AG59" s="81">
        <v>0</v>
      </c>
      <c r="AH59" s="81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3">
        <v>0</v>
      </c>
      <c r="AW59" s="80"/>
      <c r="AX59" s="81"/>
      <c r="AY59" s="81"/>
      <c r="AZ59" s="81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3"/>
      <c r="BO59" s="80"/>
      <c r="BP59" s="81"/>
      <c r="BQ59" s="81"/>
      <c r="BR59" s="81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3"/>
      <c r="CG59" s="80"/>
      <c r="CH59" s="81"/>
      <c r="CI59" s="81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3"/>
      <c r="CY59" s="80"/>
      <c r="CZ59" s="81"/>
      <c r="DA59" s="81"/>
      <c r="DB59" s="81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3"/>
      <c r="DQ59" s="80"/>
      <c r="DR59" s="81"/>
      <c r="DS59" s="81"/>
      <c r="DT59" s="81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3"/>
      <c r="EI59" s="80"/>
      <c r="EJ59" s="81"/>
      <c r="EK59" s="81"/>
      <c r="EL59" s="81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3"/>
    </row>
    <row r="60" spans="1:156">
      <c r="A60" s="11"/>
      <c r="B60" s="103" t="s">
        <v>101</v>
      </c>
      <c r="C60" s="108" t="s">
        <v>102</v>
      </c>
      <c r="D60" s="104"/>
      <c r="E60" s="104"/>
      <c r="F60" s="116"/>
      <c r="G60" s="75">
        <f t="shared" si="35"/>
        <v>61.08</v>
      </c>
      <c r="H60" s="76">
        <f t="shared" si="36"/>
        <v>61.08</v>
      </c>
      <c r="I60" s="77">
        <f t="shared" si="36"/>
        <v>0</v>
      </c>
      <c r="J60" s="77">
        <f t="shared" si="36"/>
        <v>0</v>
      </c>
      <c r="K60" s="77">
        <f t="shared" si="36"/>
        <v>0</v>
      </c>
      <c r="L60" s="78">
        <f t="shared" si="36"/>
        <v>0</v>
      </c>
      <c r="M60" s="78">
        <f t="shared" si="36"/>
        <v>0</v>
      </c>
      <c r="N60" s="78">
        <f t="shared" si="36"/>
        <v>0</v>
      </c>
      <c r="O60" s="78">
        <f t="shared" si="36"/>
        <v>0</v>
      </c>
      <c r="P60" s="78">
        <f t="shared" si="36"/>
        <v>0</v>
      </c>
      <c r="Q60" s="78">
        <f t="shared" si="36"/>
        <v>0</v>
      </c>
      <c r="R60" s="78">
        <f t="shared" si="36"/>
        <v>0</v>
      </c>
      <c r="S60" s="78">
        <f t="shared" si="36"/>
        <v>0</v>
      </c>
      <c r="T60" s="78">
        <f t="shared" si="36"/>
        <v>0</v>
      </c>
      <c r="U60" s="78">
        <f t="shared" si="36"/>
        <v>0</v>
      </c>
      <c r="V60" s="78">
        <f t="shared" si="36"/>
        <v>0</v>
      </c>
      <c r="W60" s="78">
        <f t="shared" si="36"/>
        <v>0</v>
      </c>
      <c r="X60" s="78">
        <f t="shared" si="37"/>
        <v>0</v>
      </c>
      <c r="Y60" s="78">
        <f t="shared" si="37"/>
        <v>0</v>
      </c>
      <c r="Z60" s="79">
        <f>SIS064_F_Kitospaskirtie2Elektrosenergi5</f>
        <v>0</v>
      </c>
      <c r="AA60" s="79">
        <f>SUM(SIS062_F_Kitospaskirtie2Geriamojovande1,SIS063_F_Kitospaskirtie2Geriamojovande1,SIS065_F_Kitospaskirtie2Geriamojovande1)</f>
        <v>0</v>
      </c>
      <c r="AB60" s="79">
        <f>SUM(SIS062_F_Kitospaskirtie2Paslaugaproduk8,SIS063_F_Kitospaskirtie2Paslaugaproduk8,SIS065_F_Kitospaskirtie2Paslaugaproduk8)</f>
        <v>0</v>
      </c>
      <c r="AC60" s="79">
        <f>SIS064_F_Kitospaskirtie2Elektrosenergi6</f>
        <v>0</v>
      </c>
      <c r="AD60" s="79">
        <f>SUM(SIS062_F_Kitospaskirtie2Paslaugaproduk9,SIS063_F_Kitospaskirtie2Paslaugaproduk9,SIS065_F_Kitospaskirtie2Paslaugaproduk9)</f>
        <v>0</v>
      </c>
      <c r="AE60" s="80">
        <v>61.08</v>
      </c>
      <c r="AF60" s="81">
        <v>0</v>
      </c>
      <c r="AG60" s="81">
        <v>0</v>
      </c>
      <c r="AH60" s="81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3">
        <v>0</v>
      </c>
      <c r="AW60" s="80"/>
      <c r="AX60" s="81"/>
      <c r="AY60" s="81"/>
      <c r="AZ60" s="81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3"/>
      <c r="BO60" s="80"/>
      <c r="BP60" s="81"/>
      <c r="BQ60" s="81"/>
      <c r="BR60" s="81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3"/>
      <c r="CG60" s="80"/>
      <c r="CH60" s="81"/>
      <c r="CI60" s="81"/>
      <c r="CJ60" s="81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3"/>
      <c r="CY60" s="80"/>
      <c r="CZ60" s="81"/>
      <c r="DA60" s="81"/>
      <c r="DB60" s="81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3"/>
      <c r="DQ60" s="80"/>
      <c r="DR60" s="81"/>
      <c r="DS60" s="81"/>
      <c r="DT60" s="81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3"/>
      <c r="EI60" s="80"/>
      <c r="EJ60" s="81"/>
      <c r="EK60" s="81"/>
      <c r="EL60" s="81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3"/>
    </row>
    <row r="61" spans="1:156">
      <c r="A61" s="11"/>
      <c r="B61" s="103" t="s">
        <v>103</v>
      </c>
      <c r="C61" s="108" t="s">
        <v>104</v>
      </c>
      <c r="D61" s="104"/>
      <c r="E61" s="104"/>
      <c r="F61" s="116"/>
      <c r="G61" s="75">
        <f t="shared" si="35"/>
        <v>715.02793790546798</v>
      </c>
      <c r="H61" s="76">
        <f t="shared" si="36"/>
        <v>715.02793790546798</v>
      </c>
      <c r="I61" s="77">
        <f t="shared" si="36"/>
        <v>0</v>
      </c>
      <c r="J61" s="77">
        <f t="shared" si="36"/>
        <v>0</v>
      </c>
      <c r="K61" s="77">
        <f t="shared" si="36"/>
        <v>0</v>
      </c>
      <c r="L61" s="78">
        <f t="shared" si="36"/>
        <v>0</v>
      </c>
      <c r="M61" s="78">
        <f t="shared" si="36"/>
        <v>0</v>
      </c>
      <c r="N61" s="78">
        <f t="shared" si="36"/>
        <v>0</v>
      </c>
      <c r="O61" s="78">
        <f t="shared" si="36"/>
        <v>0</v>
      </c>
      <c r="P61" s="78">
        <f t="shared" si="36"/>
        <v>0</v>
      </c>
      <c r="Q61" s="78">
        <f t="shared" si="36"/>
        <v>0</v>
      </c>
      <c r="R61" s="78">
        <f t="shared" si="36"/>
        <v>0</v>
      </c>
      <c r="S61" s="78">
        <f t="shared" si="36"/>
        <v>0</v>
      </c>
      <c r="T61" s="78">
        <f t="shared" si="36"/>
        <v>0</v>
      </c>
      <c r="U61" s="78">
        <f t="shared" si="36"/>
        <v>0</v>
      </c>
      <c r="V61" s="78">
        <f t="shared" si="36"/>
        <v>0</v>
      </c>
      <c r="W61" s="78">
        <f t="shared" si="36"/>
        <v>0</v>
      </c>
      <c r="X61" s="78">
        <f t="shared" si="37"/>
        <v>0</v>
      </c>
      <c r="Y61" s="78">
        <f t="shared" si="37"/>
        <v>0</v>
      </c>
      <c r="Z61" s="79">
        <f>SIS064_F_Kitospaskirtie3Elektrosenergi5</f>
        <v>0</v>
      </c>
      <c r="AA61" s="79">
        <f>SUM(SIS062_F_Kitospaskirtie3Geriamojovande1,SIS063_F_Kitospaskirtie3Geriamojovande1,SIS065_F_Kitospaskirtie3Geriamojovande1)</f>
        <v>0</v>
      </c>
      <c r="AB61" s="79">
        <f>SUM(SIS062_F_Kitospaskirtie3Paslaugaproduk8,SIS063_F_Kitospaskirtie3Paslaugaproduk8,SIS065_F_Kitospaskirtie3Paslaugaproduk8)</f>
        <v>0</v>
      </c>
      <c r="AC61" s="79">
        <f>SIS064_F_Kitospaskirtie3Elektrosenergi6</f>
        <v>0</v>
      </c>
      <c r="AD61" s="79">
        <f>SUM(SIS062_F_Kitospaskirtie3Paslaugaproduk9,SIS063_F_Kitospaskirtie3Paslaugaproduk9,SIS065_F_Kitospaskirtie3Paslaugaproduk9)</f>
        <v>0</v>
      </c>
      <c r="AE61" s="80">
        <v>715.02793790546798</v>
      </c>
      <c r="AF61" s="81">
        <v>0</v>
      </c>
      <c r="AG61" s="81">
        <v>0</v>
      </c>
      <c r="AH61" s="81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3">
        <v>0</v>
      </c>
      <c r="AW61" s="80"/>
      <c r="AX61" s="81"/>
      <c r="AY61" s="81"/>
      <c r="AZ61" s="81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3"/>
      <c r="BO61" s="80"/>
      <c r="BP61" s="81"/>
      <c r="BQ61" s="81"/>
      <c r="BR61" s="81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3"/>
      <c r="CG61" s="80"/>
      <c r="CH61" s="81"/>
      <c r="CI61" s="81"/>
      <c r="CJ61" s="81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3"/>
      <c r="CY61" s="80"/>
      <c r="CZ61" s="81"/>
      <c r="DA61" s="81"/>
      <c r="DB61" s="81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3"/>
      <c r="DQ61" s="80"/>
      <c r="DR61" s="81"/>
      <c r="DS61" s="81"/>
      <c r="DT61" s="81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3"/>
      <c r="EI61" s="80"/>
      <c r="EJ61" s="81"/>
      <c r="EK61" s="81"/>
      <c r="EL61" s="81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3"/>
    </row>
    <row r="62" spans="1:156">
      <c r="A62" s="11"/>
      <c r="B62" s="103" t="s">
        <v>105</v>
      </c>
      <c r="C62" s="108" t="s">
        <v>106</v>
      </c>
      <c r="D62" s="104"/>
      <c r="E62" s="104"/>
      <c r="F62" s="116"/>
      <c r="G62" s="75">
        <f t="shared" si="35"/>
        <v>83089.673226132407</v>
      </c>
      <c r="H62" s="76">
        <f t="shared" si="36"/>
        <v>3435.3403620250228</v>
      </c>
      <c r="I62" s="77">
        <f t="shared" si="36"/>
        <v>0</v>
      </c>
      <c r="J62" s="77">
        <f t="shared" si="36"/>
        <v>0</v>
      </c>
      <c r="K62" s="77">
        <f t="shared" si="36"/>
        <v>0</v>
      </c>
      <c r="L62" s="78">
        <f t="shared" si="36"/>
        <v>0</v>
      </c>
      <c r="M62" s="78">
        <f t="shared" si="36"/>
        <v>79654.332864107389</v>
      </c>
      <c r="N62" s="78">
        <f t="shared" si="36"/>
        <v>0</v>
      </c>
      <c r="O62" s="78">
        <f t="shared" si="36"/>
        <v>0</v>
      </c>
      <c r="P62" s="78">
        <f t="shared" si="36"/>
        <v>0</v>
      </c>
      <c r="Q62" s="78">
        <f t="shared" si="36"/>
        <v>0</v>
      </c>
      <c r="R62" s="78">
        <f t="shared" si="36"/>
        <v>0</v>
      </c>
      <c r="S62" s="78">
        <f t="shared" si="36"/>
        <v>0</v>
      </c>
      <c r="T62" s="78">
        <f t="shared" si="36"/>
        <v>0</v>
      </c>
      <c r="U62" s="78">
        <f t="shared" si="36"/>
        <v>0</v>
      </c>
      <c r="V62" s="78">
        <f t="shared" si="36"/>
        <v>0</v>
      </c>
      <c r="W62" s="78">
        <f t="shared" si="36"/>
        <v>0</v>
      </c>
      <c r="X62" s="78">
        <f t="shared" si="37"/>
        <v>0</v>
      </c>
      <c r="Y62" s="78">
        <f t="shared" si="37"/>
        <v>0</v>
      </c>
      <c r="Z62" s="79">
        <f>SIS064_F_Kitospaskirtie4Elektrosenergi5</f>
        <v>0</v>
      </c>
      <c r="AA62" s="79">
        <f>SUM(SIS062_F_Kitospaskirtie4Geriamojovande1,SIS063_F_Kitospaskirtie4Geriamojovande1,SIS065_F_Kitospaskirtie4Geriamojovande1)</f>
        <v>0</v>
      </c>
      <c r="AB62" s="79">
        <f>SUM(SIS062_F_Kitospaskirtie4Paslaugaproduk8,SIS063_F_Kitospaskirtie4Paslaugaproduk8,SIS065_F_Kitospaskirtie4Paslaugaproduk8)</f>
        <v>0</v>
      </c>
      <c r="AC62" s="79">
        <f>SIS064_F_Kitospaskirtie4Elektrosenergi6</f>
        <v>0</v>
      </c>
      <c r="AD62" s="79">
        <f>SUM(SIS062_F_Kitospaskirtie4Paslaugaproduk9,SIS063_F_Kitospaskirtie4Paslaugaproduk9,SIS065_F_Kitospaskirtie4Paslaugaproduk9)</f>
        <v>0</v>
      </c>
      <c r="AE62" s="80">
        <v>3435.3403620250228</v>
      </c>
      <c r="AF62" s="81">
        <v>0</v>
      </c>
      <c r="AG62" s="81">
        <v>0</v>
      </c>
      <c r="AH62" s="81">
        <v>0</v>
      </c>
      <c r="AI62" s="82">
        <v>0</v>
      </c>
      <c r="AJ62" s="82">
        <v>79654.332864107389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3">
        <v>0</v>
      </c>
      <c r="AW62" s="80"/>
      <c r="AX62" s="81"/>
      <c r="AY62" s="81"/>
      <c r="AZ62" s="81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3"/>
      <c r="BO62" s="80"/>
      <c r="BP62" s="81"/>
      <c r="BQ62" s="81"/>
      <c r="BR62" s="81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3"/>
      <c r="CG62" s="80"/>
      <c r="CH62" s="81"/>
      <c r="CI62" s="81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3"/>
      <c r="CY62" s="80"/>
      <c r="CZ62" s="81"/>
      <c r="DA62" s="81"/>
      <c r="DB62" s="81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3"/>
      <c r="DQ62" s="80"/>
      <c r="DR62" s="81"/>
      <c r="DS62" s="81"/>
      <c r="DT62" s="81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3"/>
      <c r="EI62" s="80"/>
      <c r="EJ62" s="81"/>
      <c r="EK62" s="81"/>
      <c r="EL62" s="81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3"/>
    </row>
    <row r="63" spans="1:156">
      <c r="A63" s="11"/>
      <c r="B63" s="103" t="s">
        <v>107</v>
      </c>
      <c r="C63" s="113" t="s">
        <v>108</v>
      </c>
      <c r="D63" s="114"/>
      <c r="E63" s="114"/>
      <c r="F63" s="115"/>
      <c r="G63" s="75">
        <f t="shared" si="35"/>
        <v>0</v>
      </c>
      <c r="H63" s="76">
        <f t="shared" si="36"/>
        <v>0</v>
      </c>
      <c r="I63" s="77">
        <f t="shared" si="36"/>
        <v>0</v>
      </c>
      <c r="J63" s="77">
        <f t="shared" si="36"/>
        <v>0</v>
      </c>
      <c r="K63" s="77">
        <f t="shared" si="36"/>
        <v>0</v>
      </c>
      <c r="L63" s="78">
        <f t="shared" si="36"/>
        <v>0</v>
      </c>
      <c r="M63" s="78">
        <f t="shared" si="36"/>
        <v>0</v>
      </c>
      <c r="N63" s="78">
        <f t="shared" si="36"/>
        <v>0</v>
      </c>
      <c r="O63" s="78">
        <f t="shared" si="36"/>
        <v>0</v>
      </c>
      <c r="P63" s="78">
        <f t="shared" si="36"/>
        <v>0</v>
      </c>
      <c r="Q63" s="78">
        <f t="shared" si="36"/>
        <v>0</v>
      </c>
      <c r="R63" s="78">
        <f t="shared" si="36"/>
        <v>0</v>
      </c>
      <c r="S63" s="78">
        <f t="shared" si="36"/>
        <v>0</v>
      </c>
      <c r="T63" s="78">
        <f t="shared" si="36"/>
        <v>0</v>
      </c>
      <c r="U63" s="78">
        <f t="shared" si="36"/>
        <v>0</v>
      </c>
      <c r="V63" s="78">
        <f t="shared" si="36"/>
        <v>0</v>
      </c>
      <c r="W63" s="78">
        <f t="shared" si="36"/>
        <v>0</v>
      </c>
      <c r="X63" s="78">
        <f t="shared" si="37"/>
        <v>0</v>
      </c>
      <c r="Y63" s="78">
        <f t="shared" si="37"/>
        <v>0</v>
      </c>
      <c r="Z63" s="79">
        <f>SIS064_F_Administracine1Elektrosenergi5</f>
        <v>0</v>
      </c>
      <c r="AA63" s="79">
        <f>SUM(SIS062_F_Administracine1Geriamojovande1,SIS063_F_Administracine1Geriamojovande1,SIS065_F_Administracine1Geriamojovande1)</f>
        <v>0</v>
      </c>
      <c r="AB63" s="79">
        <f>SUM(SIS062_F_Administracine1Paslaugaproduk8,SIS063_F_Administracine1Paslaugaproduk8,SIS065_F_Administracine1Paslaugaproduk8)</f>
        <v>0</v>
      </c>
      <c r="AC63" s="79">
        <f>SIS064_F_Administracine1Elektrosenergi6</f>
        <v>0</v>
      </c>
      <c r="AD63" s="79">
        <f>SUM(SIS062_F_Administracine1Paslaugaproduk9,SIS063_F_Administracine1Paslaugaproduk9,SIS065_F_Administracine1Paslaugaproduk9)</f>
        <v>0</v>
      </c>
      <c r="AE63" s="80">
        <v>0</v>
      </c>
      <c r="AF63" s="81">
        <v>0</v>
      </c>
      <c r="AG63" s="81">
        <v>0</v>
      </c>
      <c r="AH63" s="81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3">
        <v>0</v>
      </c>
      <c r="AW63" s="80"/>
      <c r="AX63" s="81"/>
      <c r="AY63" s="81"/>
      <c r="AZ63" s="81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3"/>
      <c r="BO63" s="80"/>
      <c r="BP63" s="81"/>
      <c r="BQ63" s="81"/>
      <c r="BR63" s="81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3"/>
      <c r="CG63" s="80"/>
      <c r="CH63" s="81"/>
      <c r="CI63" s="81"/>
      <c r="CJ63" s="81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3"/>
      <c r="CY63" s="80"/>
      <c r="CZ63" s="81"/>
      <c r="DA63" s="81"/>
      <c r="DB63" s="81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3"/>
      <c r="DQ63" s="80"/>
      <c r="DR63" s="81"/>
      <c r="DS63" s="81"/>
      <c r="DT63" s="81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3"/>
      <c r="EI63" s="80"/>
      <c r="EJ63" s="81"/>
      <c r="EK63" s="81"/>
      <c r="EL63" s="81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3"/>
    </row>
    <row r="64" spans="1:156">
      <c r="A64" s="11"/>
      <c r="B64" s="103" t="s">
        <v>109</v>
      </c>
      <c r="C64" s="113" t="s">
        <v>110</v>
      </c>
      <c r="D64" s="114"/>
      <c r="E64" s="114"/>
      <c r="F64" s="115"/>
      <c r="G64" s="75">
        <f t="shared" si="35"/>
        <v>12543.583016531511</v>
      </c>
      <c r="H64" s="76">
        <f t="shared" si="36"/>
        <v>12398.77300726367</v>
      </c>
      <c r="I64" s="77">
        <f t="shared" si="36"/>
        <v>0</v>
      </c>
      <c r="J64" s="77">
        <f t="shared" si="36"/>
        <v>0</v>
      </c>
      <c r="K64" s="77">
        <f t="shared" si="36"/>
        <v>0</v>
      </c>
      <c r="L64" s="78">
        <f t="shared" si="36"/>
        <v>0</v>
      </c>
      <c r="M64" s="78">
        <f t="shared" si="36"/>
        <v>144.8100092678406</v>
      </c>
      <c r="N64" s="78">
        <f t="shared" si="36"/>
        <v>0</v>
      </c>
      <c r="O64" s="78">
        <f t="shared" si="36"/>
        <v>0</v>
      </c>
      <c r="P64" s="78">
        <f t="shared" si="36"/>
        <v>0</v>
      </c>
      <c r="Q64" s="78">
        <f t="shared" si="36"/>
        <v>0</v>
      </c>
      <c r="R64" s="78">
        <f t="shared" si="36"/>
        <v>0</v>
      </c>
      <c r="S64" s="78">
        <f t="shared" si="36"/>
        <v>0</v>
      </c>
      <c r="T64" s="78">
        <f t="shared" si="36"/>
        <v>0</v>
      </c>
      <c r="U64" s="78">
        <f t="shared" si="36"/>
        <v>0</v>
      </c>
      <c r="V64" s="78">
        <f t="shared" si="36"/>
        <v>0</v>
      </c>
      <c r="W64" s="78">
        <f t="shared" si="36"/>
        <v>0</v>
      </c>
      <c r="X64" s="78">
        <f t="shared" si="37"/>
        <v>0</v>
      </c>
      <c r="Y64" s="78">
        <f t="shared" si="37"/>
        <v>0</v>
      </c>
      <c r="Z64" s="79">
        <f>SIS064_F_Kitospaskirtie5Elektrosenergi5</f>
        <v>0</v>
      </c>
      <c r="AA64" s="79">
        <f>SUM(SIS062_F_Kitospaskirtie5Geriamojovande1,SIS063_F_Kitospaskirtie5Geriamojovande1,SIS065_F_Kitospaskirtie5Geriamojovande1)</f>
        <v>0</v>
      </c>
      <c r="AB64" s="79">
        <f>SUM(SIS062_F_Kitospaskirtie5Paslaugaproduk8,SIS063_F_Kitospaskirtie5Paslaugaproduk8,SIS065_F_Kitospaskirtie5Paslaugaproduk8)</f>
        <v>0</v>
      </c>
      <c r="AC64" s="79">
        <f>SIS064_F_Kitospaskirtie5Elektrosenergi6</f>
        <v>0</v>
      </c>
      <c r="AD64" s="79">
        <f>SUM(SIS062_F_Kitospaskirtie5Paslaugaproduk9,SIS063_F_Kitospaskirtie5Paslaugaproduk9,SIS065_F_Kitospaskirtie5Paslaugaproduk9)</f>
        <v>0</v>
      </c>
      <c r="AE64" s="80">
        <v>12398.77300726367</v>
      </c>
      <c r="AF64" s="81">
        <v>0</v>
      </c>
      <c r="AG64" s="81">
        <v>0</v>
      </c>
      <c r="AH64" s="81">
        <v>0</v>
      </c>
      <c r="AI64" s="82">
        <v>0</v>
      </c>
      <c r="AJ64" s="82">
        <v>144.8100092678406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83">
        <v>0</v>
      </c>
      <c r="AW64" s="80"/>
      <c r="AX64" s="81"/>
      <c r="AY64" s="81"/>
      <c r="AZ64" s="81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3"/>
      <c r="BO64" s="80"/>
      <c r="BP64" s="81"/>
      <c r="BQ64" s="81"/>
      <c r="BR64" s="81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3"/>
      <c r="CG64" s="80"/>
      <c r="CH64" s="81"/>
      <c r="CI64" s="81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3"/>
      <c r="CY64" s="80"/>
      <c r="CZ64" s="81"/>
      <c r="DA64" s="81"/>
      <c r="DB64" s="81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3"/>
      <c r="DQ64" s="80"/>
      <c r="DR64" s="81"/>
      <c r="DS64" s="81"/>
      <c r="DT64" s="81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3"/>
      <c r="EI64" s="80"/>
      <c r="EJ64" s="81"/>
      <c r="EK64" s="81"/>
      <c r="EL64" s="81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3"/>
    </row>
    <row r="65" spans="1:156">
      <c r="A65" s="11"/>
      <c r="B65" s="103" t="s">
        <v>111</v>
      </c>
      <c r="C65" s="113" t="s">
        <v>112</v>
      </c>
      <c r="D65" s="114"/>
      <c r="E65" s="114"/>
      <c r="F65" s="115"/>
      <c r="G65" s="75">
        <f t="shared" si="35"/>
        <v>5812.6372036463163</v>
      </c>
      <c r="H65" s="76">
        <f t="shared" si="36"/>
        <v>5812.6372036463163</v>
      </c>
      <c r="I65" s="77">
        <f t="shared" si="36"/>
        <v>0</v>
      </c>
      <c r="J65" s="77">
        <f t="shared" si="36"/>
        <v>0</v>
      </c>
      <c r="K65" s="77">
        <f t="shared" si="36"/>
        <v>0</v>
      </c>
      <c r="L65" s="78">
        <f t="shared" si="36"/>
        <v>0</v>
      </c>
      <c r="M65" s="78">
        <f t="shared" si="36"/>
        <v>0</v>
      </c>
      <c r="N65" s="78">
        <f t="shared" si="36"/>
        <v>0</v>
      </c>
      <c r="O65" s="78">
        <f t="shared" si="36"/>
        <v>0</v>
      </c>
      <c r="P65" s="78">
        <f t="shared" si="36"/>
        <v>0</v>
      </c>
      <c r="Q65" s="78">
        <f t="shared" si="36"/>
        <v>0</v>
      </c>
      <c r="R65" s="78">
        <f t="shared" si="36"/>
        <v>0</v>
      </c>
      <c r="S65" s="78">
        <f t="shared" si="36"/>
        <v>0</v>
      </c>
      <c r="T65" s="78">
        <f t="shared" si="36"/>
        <v>0</v>
      </c>
      <c r="U65" s="78">
        <f t="shared" si="36"/>
        <v>0</v>
      </c>
      <c r="V65" s="78">
        <f t="shared" si="36"/>
        <v>0</v>
      </c>
      <c r="W65" s="78">
        <f t="shared" si="36"/>
        <v>0</v>
      </c>
      <c r="X65" s="78">
        <f t="shared" si="37"/>
        <v>0</v>
      </c>
      <c r="Y65" s="78">
        <f t="shared" si="37"/>
        <v>0</v>
      </c>
      <c r="Z65" s="79">
        <f>SIS064_F_Kitosirangospr1Elektrosenergi5</f>
        <v>0</v>
      </c>
      <c r="AA65" s="79">
        <f>SUM(SIS062_F_Kitosirangospr1Geriamojovande1,SIS063_F_Kitosirangospr1Geriamojovande1,SIS065_F_Kitosirangospr1Geriamojovande1)</f>
        <v>0</v>
      </c>
      <c r="AB65" s="79">
        <f>SUM(SIS062_F_Kitosirangospr1Paslaugaproduk8,SIS063_F_Kitosirangospr1Paslaugaproduk8,SIS065_F_Kitosirangospr1Paslaugaproduk8)</f>
        <v>0</v>
      </c>
      <c r="AC65" s="79">
        <f>SIS064_F_Kitosirangospr1Elektrosenergi6</f>
        <v>0</v>
      </c>
      <c r="AD65" s="79">
        <f>SUM(SIS062_F_Kitosirangospr1Paslaugaproduk9,SIS063_F_Kitosirangospr1Paslaugaproduk9,SIS065_F_Kitosirangospr1Paslaugaproduk9)</f>
        <v>0</v>
      </c>
      <c r="AE65" s="80">
        <v>5812.6372036463163</v>
      </c>
      <c r="AF65" s="81">
        <v>0</v>
      </c>
      <c r="AG65" s="81">
        <v>0</v>
      </c>
      <c r="AH65" s="81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0</v>
      </c>
      <c r="AR65" s="82">
        <v>0</v>
      </c>
      <c r="AS65" s="82">
        <v>0</v>
      </c>
      <c r="AT65" s="82">
        <v>0</v>
      </c>
      <c r="AU65" s="82">
        <v>0</v>
      </c>
      <c r="AV65" s="83">
        <v>0</v>
      </c>
      <c r="AW65" s="80"/>
      <c r="AX65" s="81"/>
      <c r="AY65" s="81"/>
      <c r="AZ65" s="81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3"/>
      <c r="BO65" s="80"/>
      <c r="BP65" s="81"/>
      <c r="BQ65" s="81"/>
      <c r="BR65" s="81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3"/>
      <c r="CG65" s="80"/>
      <c r="CH65" s="81"/>
      <c r="CI65" s="81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3"/>
      <c r="CY65" s="80"/>
      <c r="CZ65" s="81"/>
      <c r="DA65" s="81"/>
      <c r="DB65" s="81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3"/>
      <c r="DQ65" s="80"/>
      <c r="DR65" s="81"/>
      <c r="DS65" s="81"/>
      <c r="DT65" s="81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3"/>
      <c r="EI65" s="80"/>
      <c r="EJ65" s="81"/>
      <c r="EK65" s="81"/>
      <c r="EL65" s="81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3"/>
    </row>
    <row r="66" spans="1:156">
      <c r="A66" s="11"/>
      <c r="B66" s="103" t="s">
        <v>113</v>
      </c>
      <c r="C66" s="113" t="s">
        <v>114</v>
      </c>
      <c r="D66" s="114"/>
      <c r="E66" s="114"/>
      <c r="F66" s="115"/>
      <c r="G66" s="75">
        <f t="shared" si="35"/>
        <v>26752.927799577152</v>
      </c>
      <c r="H66" s="76">
        <f t="shared" si="36"/>
        <v>26752.927799577152</v>
      </c>
      <c r="I66" s="77">
        <f t="shared" si="36"/>
        <v>0</v>
      </c>
      <c r="J66" s="77">
        <f t="shared" si="36"/>
        <v>0</v>
      </c>
      <c r="K66" s="77">
        <f t="shared" si="36"/>
        <v>0</v>
      </c>
      <c r="L66" s="78">
        <f t="shared" si="36"/>
        <v>0</v>
      </c>
      <c r="M66" s="78">
        <f t="shared" si="36"/>
        <v>0</v>
      </c>
      <c r="N66" s="78">
        <f t="shared" si="36"/>
        <v>0</v>
      </c>
      <c r="O66" s="78">
        <f t="shared" si="36"/>
        <v>0</v>
      </c>
      <c r="P66" s="78">
        <f t="shared" si="36"/>
        <v>0</v>
      </c>
      <c r="Q66" s="78">
        <f t="shared" si="36"/>
        <v>0</v>
      </c>
      <c r="R66" s="78">
        <f t="shared" si="36"/>
        <v>0</v>
      </c>
      <c r="S66" s="78">
        <f t="shared" si="36"/>
        <v>0</v>
      </c>
      <c r="T66" s="78">
        <f t="shared" si="36"/>
        <v>0</v>
      </c>
      <c r="U66" s="78">
        <f t="shared" si="36"/>
        <v>0</v>
      </c>
      <c r="V66" s="78">
        <f t="shared" si="36"/>
        <v>0</v>
      </c>
      <c r="W66" s="78">
        <f t="shared" ref="W66:W77" si="38">SUM(AT66,BL66,CD66,CV66,DN66,EF66,EX66)</f>
        <v>0</v>
      </c>
      <c r="X66" s="78">
        <f t="shared" si="37"/>
        <v>0</v>
      </c>
      <c r="Y66" s="78">
        <f t="shared" si="37"/>
        <v>0</v>
      </c>
      <c r="Z66" s="79">
        <f>SIS064_F_Masinuirirengi1Elektrosenergi5</f>
        <v>0</v>
      </c>
      <c r="AA66" s="79">
        <f>SUM(SIS062_F_Masinuirirengi1Geriamojovande1,SIS063_F_Masinuirirengi1Geriamojovande1,SIS065_F_Masinuirirengi1Geriamojovande1)</f>
        <v>0</v>
      </c>
      <c r="AB66" s="79">
        <f>SUM(SIS062_F_Masinuirirengi1Paslaugaproduk8,SIS063_F_Masinuirirengi1Paslaugaproduk8,SIS065_F_Masinuirirengi1Paslaugaproduk8)</f>
        <v>0</v>
      </c>
      <c r="AC66" s="79">
        <f>SIS064_F_Masinuirirengi1Elektrosenergi6</f>
        <v>0</v>
      </c>
      <c r="AD66" s="79">
        <f>SUM(SIS062_F_Masinuirirengi1Paslaugaproduk9,SIS063_F_Masinuirirengi1Paslaugaproduk9,SIS065_F_Masinuirirengi1Paslaugaproduk9)</f>
        <v>0</v>
      </c>
      <c r="AE66" s="80">
        <v>26752.927799577152</v>
      </c>
      <c r="AF66" s="81">
        <v>0</v>
      </c>
      <c r="AG66" s="81">
        <v>0</v>
      </c>
      <c r="AH66" s="81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83">
        <v>0</v>
      </c>
      <c r="AW66" s="80"/>
      <c r="AX66" s="81"/>
      <c r="AY66" s="81"/>
      <c r="AZ66" s="81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3"/>
      <c r="BO66" s="80"/>
      <c r="BP66" s="81"/>
      <c r="BQ66" s="81"/>
      <c r="BR66" s="81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3"/>
      <c r="CG66" s="80"/>
      <c r="CH66" s="81"/>
      <c r="CI66" s="81"/>
      <c r="CJ66" s="81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3"/>
      <c r="CY66" s="80"/>
      <c r="CZ66" s="81"/>
      <c r="DA66" s="81"/>
      <c r="DB66" s="81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3"/>
      <c r="DQ66" s="80"/>
      <c r="DR66" s="81"/>
      <c r="DS66" s="81"/>
      <c r="DT66" s="81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3"/>
      <c r="EI66" s="80"/>
      <c r="EJ66" s="81"/>
      <c r="EK66" s="81"/>
      <c r="EL66" s="81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3"/>
    </row>
    <row r="67" spans="1:156">
      <c r="A67" s="11"/>
      <c r="B67" s="103" t="s">
        <v>115</v>
      </c>
      <c r="C67" s="113" t="s">
        <v>116</v>
      </c>
      <c r="D67" s="114"/>
      <c r="E67" s="114"/>
      <c r="F67" s="115"/>
      <c r="G67" s="75">
        <f t="shared" si="35"/>
        <v>40671.919095881603</v>
      </c>
      <c r="H67" s="76">
        <f t="shared" ref="H67:V77" si="39">SUM(AE67,AW67,BO67,CG67,CY67,DQ67,EI67)</f>
        <v>40671.914480062558</v>
      </c>
      <c r="I67" s="77">
        <f t="shared" si="39"/>
        <v>0</v>
      </c>
      <c r="J67" s="77">
        <f t="shared" si="39"/>
        <v>4.6158190454124197E-3</v>
      </c>
      <c r="K67" s="77">
        <f t="shared" si="39"/>
        <v>0</v>
      </c>
      <c r="L67" s="78">
        <f t="shared" si="39"/>
        <v>0</v>
      </c>
      <c r="M67" s="78">
        <f t="shared" si="39"/>
        <v>0</v>
      </c>
      <c r="N67" s="78">
        <f t="shared" si="39"/>
        <v>0</v>
      </c>
      <c r="O67" s="78">
        <f t="shared" si="39"/>
        <v>0</v>
      </c>
      <c r="P67" s="78">
        <f t="shared" si="39"/>
        <v>0</v>
      </c>
      <c r="Q67" s="78">
        <f t="shared" si="39"/>
        <v>0</v>
      </c>
      <c r="R67" s="78">
        <f t="shared" si="39"/>
        <v>0</v>
      </c>
      <c r="S67" s="78">
        <f t="shared" si="39"/>
        <v>0</v>
      </c>
      <c r="T67" s="78">
        <f t="shared" si="39"/>
        <v>0</v>
      </c>
      <c r="U67" s="78">
        <f t="shared" si="39"/>
        <v>0</v>
      </c>
      <c r="V67" s="78">
        <f t="shared" si="39"/>
        <v>0</v>
      </c>
      <c r="W67" s="78">
        <f t="shared" si="38"/>
        <v>0</v>
      </c>
      <c r="X67" s="78">
        <f t="shared" si="37"/>
        <v>0</v>
      </c>
      <c r="Y67" s="78">
        <f t="shared" si="37"/>
        <v>0</v>
      </c>
      <c r="Z67" s="79">
        <f>SIS064_F_Masinuirirengi2Elektrosenergi5</f>
        <v>0</v>
      </c>
      <c r="AA67" s="79">
        <f>SUM(SIS062_F_Masinuirirengi2Geriamojovande1,SIS063_F_Masinuirirengi2Geriamojovande1,SIS065_F_Masinuirirengi2Geriamojovande1)</f>
        <v>0</v>
      </c>
      <c r="AB67" s="79">
        <f>SUM(SIS062_F_Masinuirirengi2Paslaugaproduk8,SIS063_F_Masinuirirengi2Paslaugaproduk8,SIS065_F_Masinuirirengi2Paslaugaproduk8)</f>
        <v>0</v>
      </c>
      <c r="AC67" s="79">
        <f>SIS064_F_Masinuirirengi2Elektrosenergi6</f>
        <v>0</v>
      </c>
      <c r="AD67" s="79">
        <f>SUM(SIS062_F_Masinuirirengi2Paslaugaproduk9,SIS063_F_Masinuirirengi2Paslaugaproduk9,SIS065_F_Masinuirirengi2Paslaugaproduk9)</f>
        <v>0</v>
      </c>
      <c r="AE67" s="80">
        <v>40671.914480062558</v>
      </c>
      <c r="AF67" s="81">
        <v>0</v>
      </c>
      <c r="AG67" s="81">
        <v>4.6158190454124197E-3</v>
      </c>
      <c r="AH67" s="81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83">
        <v>0</v>
      </c>
      <c r="AW67" s="80"/>
      <c r="AX67" s="81"/>
      <c r="AY67" s="81"/>
      <c r="AZ67" s="81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3"/>
      <c r="BO67" s="80"/>
      <c r="BP67" s="81"/>
      <c r="BQ67" s="81"/>
      <c r="BR67" s="81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3"/>
      <c r="CG67" s="80"/>
      <c r="CH67" s="81"/>
      <c r="CI67" s="81"/>
      <c r="CJ67" s="81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3"/>
      <c r="CY67" s="80"/>
      <c r="CZ67" s="81"/>
      <c r="DA67" s="81"/>
      <c r="DB67" s="81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3"/>
      <c r="DQ67" s="80"/>
      <c r="DR67" s="81"/>
      <c r="DS67" s="81"/>
      <c r="DT67" s="81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3"/>
      <c r="EI67" s="80"/>
      <c r="EJ67" s="81"/>
      <c r="EK67" s="81"/>
      <c r="EL67" s="81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3"/>
    </row>
    <row r="68" spans="1:156">
      <c r="A68" s="11"/>
      <c r="B68" s="103" t="s">
        <v>117</v>
      </c>
      <c r="C68" s="113" t="s">
        <v>118</v>
      </c>
      <c r="D68" s="114"/>
      <c r="E68" s="114"/>
      <c r="F68" s="115"/>
      <c r="G68" s="75">
        <f t="shared" si="35"/>
        <v>3726.6431125115841</v>
      </c>
      <c r="H68" s="76">
        <f t="shared" si="39"/>
        <v>3680.4431125115843</v>
      </c>
      <c r="I68" s="77">
        <f t="shared" si="39"/>
        <v>0</v>
      </c>
      <c r="J68" s="77">
        <f t="shared" si="39"/>
        <v>0</v>
      </c>
      <c r="K68" s="77">
        <f t="shared" si="39"/>
        <v>0</v>
      </c>
      <c r="L68" s="78">
        <f t="shared" si="39"/>
        <v>0</v>
      </c>
      <c r="M68" s="78">
        <f t="shared" si="39"/>
        <v>46.2</v>
      </c>
      <c r="N68" s="78">
        <f t="shared" si="39"/>
        <v>0</v>
      </c>
      <c r="O68" s="78">
        <f t="shared" si="39"/>
        <v>0</v>
      </c>
      <c r="P68" s="78">
        <f t="shared" si="39"/>
        <v>0</v>
      </c>
      <c r="Q68" s="78">
        <f t="shared" si="39"/>
        <v>0</v>
      </c>
      <c r="R68" s="78">
        <f t="shared" si="39"/>
        <v>0</v>
      </c>
      <c r="S68" s="78">
        <f t="shared" si="39"/>
        <v>0</v>
      </c>
      <c r="T68" s="78">
        <f t="shared" si="39"/>
        <v>0</v>
      </c>
      <c r="U68" s="78">
        <f t="shared" si="39"/>
        <v>0</v>
      </c>
      <c r="V68" s="78">
        <f t="shared" si="39"/>
        <v>0</v>
      </c>
      <c r="W68" s="78">
        <f t="shared" si="38"/>
        <v>0</v>
      </c>
      <c r="X68" s="78">
        <f t="shared" si="37"/>
        <v>0</v>
      </c>
      <c r="Y68" s="78">
        <f t="shared" si="37"/>
        <v>0</v>
      </c>
      <c r="Z68" s="79">
        <f>SIS064_F_Masinuirirengi3Elektrosenergi5</f>
        <v>0</v>
      </c>
      <c r="AA68" s="79">
        <f>SUM(SIS062_F_Masinuirirengi3Geriamojovande1,SIS063_F_Masinuirirengi3Geriamojovande1,SIS065_F_Masinuirirengi3Geriamojovande1)</f>
        <v>0</v>
      </c>
      <c r="AB68" s="79">
        <f>SUM(SIS062_F_Masinuirirengi3Paslaugaproduk8,SIS063_F_Masinuirirengi3Paslaugaproduk8,SIS065_F_Masinuirirengi3Paslaugaproduk8)</f>
        <v>0</v>
      </c>
      <c r="AC68" s="79">
        <f>SIS064_F_Masinuirirengi3Elektrosenergi6</f>
        <v>0</v>
      </c>
      <c r="AD68" s="79">
        <f>SUM(SIS062_F_Masinuirirengi3Paslaugaproduk9,SIS063_F_Masinuirirengi3Paslaugaproduk9,SIS065_F_Masinuirirengi3Paslaugaproduk9)</f>
        <v>0</v>
      </c>
      <c r="AE68" s="80">
        <v>3680.4431125115843</v>
      </c>
      <c r="AF68" s="81">
        <v>0</v>
      </c>
      <c r="AG68" s="81">
        <v>0</v>
      </c>
      <c r="AH68" s="81">
        <v>0</v>
      </c>
      <c r="AI68" s="82">
        <v>0</v>
      </c>
      <c r="AJ68" s="82">
        <v>46.2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83">
        <v>0</v>
      </c>
      <c r="AW68" s="80"/>
      <c r="AX68" s="81"/>
      <c r="AY68" s="81"/>
      <c r="AZ68" s="81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3"/>
      <c r="BO68" s="80"/>
      <c r="BP68" s="81"/>
      <c r="BQ68" s="81"/>
      <c r="BR68" s="81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3"/>
      <c r="CG68" s="80"/>
      <c r="CH68" s="81"/>
      <c r="CI68" s="81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3"/>
      <c r="CY68" s="80"/>
      <c r="CZ68" s="81"/>
      <c r="DA68" s="81"/>
      <c r="DB68" s="81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3"/>
      <c r="DQ68" s="80"/>
      <c r="DR68" s="81"/>
      <c r="DS68" s="81"/>
      <c r="DT68" s="81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3"/>
      <c r="EI68" s="80"/>
      <c r="EJ68" s="81"/>
      <c r="EK68" s="81"/>
      <c r="EL68" s="81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3"/>
    </row>
    <row r="69" spans="1:156">
      <c r="A69" s="11"/>
      <c r="B69" s="103" t="s">
        <v>119</v>
      </c>
      <c r="C69" s="113" t="s">
        <v>120</v>
      </c>
      <c r="D69" s="114"/>
      <c r="E69" s="114"/>
      <c r="F69" s="115"/>
      <c r="G69" s="75">
        <f t="shared" si="35"/>
        <v>0</v>
      </c>
      <c r="H69" s="76">
        <f t="shared" si="39"/>
        <v>0</v>
      </c>
      <c r="I69" s="77">
        <f t="shared" si="39"/>
        <v>0</v>
      </c>
      <c r="J69" s="77">
        <f t="shared" si="39"/>
        <v>0</v>
      </c>
      <c r="K69" s="77">
        <f t="shared" si="39"/>
        <v>0</v>
      </c>
      <c r="L69" s="78">
        <f t="shared" si="39"/>
        <v>0</v>
      </c>
      <c r="M69" s="78">
        <f t="shared" si="39"/>
        <v>0</v>
      </c>
      <c r="N69" s="78">
        <f t="shared" si="39"/>
        <v>0</v>
      </c>
      <c r="O69" s="78">
        <f t="shared" si="39"/>
        <v>0</v>
      </c>
      <c r="P69" s="78">
        <f t="shared" si="39"/>
        <v>0</v>
      </c>
      <c r="Q69" s="78">
        <f t="shared" si="39"/>
        <v>0</v>
      </c>
      <c r="R69" s="78">
        <f t="shared" si="39"/>
        <v>0</v>
      </c>
      <c r="S69" s="78">
        <f t="shared" si="39"/>
        <v>0</v>
      </c>
      <c r="T69" s="78">
        <f t="shared" si="39"/>
        <v>0</v>
      </c>
      <c r="U69" s="78">
        <f t="shared" si="39"/>
        <v>0</v>
      </c>
      <c r="V69" s="78">
        <f t="shared" si="39"/>
        <v>0</v>
      </c>
      <c r="W69" s="78">
        <f t="shared" si="38"/>
        <v>0</v>
      </c>
      <c r="X69" s="78">
        <f t="shared" si="37"/>
        <v>0</v>
      </c>
      <c r="Y69" s="78">
        <f t="shared" si="37"/>
        <v>0</v>
      </c>
      <c r="Z69" s="79">
        <f>SIS064_F_Masinuirirengi4Elektrosenergi5</f>
        <v>0</v>
      </c>
      <c r="AA69" s="79">
        <f>SUM(SIS062_F_Masinuirirengi4Geriamojovande1,SIS063_F_Masinuirirengi4Geriamojovande1,SIS065_F_Masinuirirengi4Geriamojovande1)</f>
        <v>0</v>
      </c>
      <c r="AB69" s="79">
        <f>SUM(SIS062_F_Masinuirirengi4Paslaugaproduk8,SIS063_F_Masinuirirengi4Paslaugaproduk8,SIS065_F_Masinuirirengi4Paslaugaproduk8)</f>
        <v>0</v>
      </c>
      <c r="AC69" s="79">
        <f>SIS064_F_Masinuirirengi4Elektrosenergi6</f>
        <v>0</v>
      </c>
      <c r="AD69" s="79">
        <f>SUM(SIS062_F_Masinuirirengi4Paslaugaproduk9,SIS063_F_Masinuirirengi4Paslaugaproduk9,SIS065_F_Masinuirirengi4Paslaugaproduk9)</f>
        <v>0</v>
      </c>
      <c r="AE69" s="80">
        <v>0</v>
      </c>
      <c r="AF69" s="81">
        <v>0</v>
      </c>
      <c r="AG69" s="81">
        <v>0</v>
      </c>
      <c r="AH69" s="81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83">
        <v>0</v>
      </c>
      <c r="AW69" s="80"/>
      <c r="AX69" s="81"/>
      <c r="AY69" s="81"/>
      <c r="AZ69" s="81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3"/>
      <c r="BO69" s="80"/>
      <c r="BP69" s="81"/>
      <c r="BQ69" s="81"/>
      <c r="BR69" s="81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3"/>
      <c r="CG69" s="80"/>
      <c r="CH69" s="81"/>
      <c r="CI69" s="81"/>
      <c r="CJ69" s="81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3"/>
      <c r="CY69" s="80"/>
      <c r="CZ69" s="81"/>
      <c r="DA69" s="81"/>
      <c r="DB69" s="81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3"/>
      <c r="DQ69" s="80"/>
      <c r="DR69" s="81"/>
      <c r="DS69" s="81"/>
      <c r="DT69" s="81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3"/>
      <c r="EI69" s="80"/>
      <c r="EJ69" s="81"/>
      <c r="EK69" s="81"/>
      <c r="EL69" s="81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3"/>
    </row>
    <row r="70" spans="1:156">
      <c r="A70" s="11"/>
      <c r="B70" s="103" t="s">
        <v>121</v>
      </c>
      <c r="C70" s="113" t="s">
        <v>122</v>
      </c>
      <c r="D70" s="114"/>
      <c r="E70" s="114"/>
      <c r="F70" s="115"/>
      <c r="G70" s="75">
        <f t="shared" si="35"/>
        <v>4318.1000000000004</v>
      </c>
      <c r="H70" s="76">
        <f t="shared" si="39"/>
        <v>4318.1000000000004</v>
      </c>
      <c r="I70" s="77">
        <f t="shared" si="39"/>
        <v>0</v>
      </c>
      <c r="J70" s="77">
        <f t="shared" si="39"/>
        <v>0</v>
      </c>
      <c r="K70" s="77">
        <f t="shared" si="39"/>
        <v>0</v>
      </c>
      <c r="L70" s="78">
        <f t="shared" si="39"/>
        <v>0</v>
      </c>
      <c r="M70" s="78">
        <f t="shared" si="39"/>
        <v>0</v>
      </c>
      <c r="N70" s="78">
        <f t="shared" si="39"/>
        <v>0</v>
      </c>
      <c r="O70" s="78">
        <f t="shared" si="39"/>
        <v>0</v>
      </c>
      <c r="P70" s="78">
        <f t="shared" si="39"/>
        <v>0</v>
      </c>
      <c r="Q70" s="78">
        <f t="shared" si="39"/>
        <v>0</v>
      </c>
      <c r="R70" s="78">
        <f t="shared" si="39"/>
        <v>0</v>
      </c>
      <c r="S70" s="78">
        <f t="shared" si="39"/>
        <v>0</v>
      </c>
      <c r="T70" s="78">
        <f t="shared" si="39"/>
        <v>0</v>
      </c>
      <c r="U70" s="78">
        <f t="shared" si="39"/>
        <v>0</v>
      </c>
      <c r="V70" s="78">
        <f t="shared" si="39"/>
        <v>0</v>
      </c>
      <c r="W70" s="78">
        <f t="shared" si="38"/>
        <v>0</v>
      </c>
      <c r="X70" s="78">
        <f t="shared" si="37"/>
        <v>0</v>
      </c>
      <c r="Y70" s="78">
        <f t="shared" si="37"/>
        <v>0</v>
      </c>
      <c r="Z70" s="79">
        <f>SIS064_F_Kitumasinuirir1Elektrosenergi5</f>
        <v>0</v>
      </c>
      <c r="AA70" s="79">
        <f>SUM(SIS062_F_Kitumasinuirir1Geriamojovande1,SIS063_F_Kitumasinuirir1Geriamojovande1,SIS065_F_Kitumasinuirir1Geriamojovande1)</f>
        <v>0</v>
      </c>
      <c r="AB70" s="79">
        <f>SUM(SIS062_F_Kitumasinuirir1Paslaugaproduk8,SIS063_F_Kitumasinuirir1Paslaugaproduk8,SIS065_F_Kitumasinuirir1Paslaugaproduk8)</f>
        <v>0</v>
      </c>
      <c r="AC70" s="79">
        <f>SIS064_F_Kitumasinuirir1Elektrosenergi6</f>
        <v>0</v>
      </c>
      <c r="AD70" s="79">
        <f>SUM(SIS062_F_Kitumasinuirir1Paslaugaproduk9,SIS063_F_Kitumasinuirir1Paslaugaproduk9,SIS065_F_Kitumasinuirir1Paslaugaproduk9)</f>
        <v>0</v>
      </c>
      <c r="AE70" s="80">
        <v>4318.1000000000004</v>
      </c>
      <c r="AF70" s="81">
        <v>0</v>
      </c>
      <c r="AG70" s="81">
        <v>0</v>
      </c>
      <c r="AH70" s="81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83">
        <v>0</v>
      </c>
      <c r="AW70" s="80"/>
      <c r="AX70" s="81"/>
      <c r="AY70" s="81"/>
      <c r="AZ70" s="81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3"/>
      <c r="BO70" s="80"/>
      <c r="BP70" s="81"/>
      <c r="BQ70" s="81"/>
      <c r="BR70" s="81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3"/>
      <c r="CG70" s="80"/>
      <c r="CH70" s="81"/>
      <c r="CI70" s="81"/>
      <c r="CJ70" s="81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3"/>
      <c r="CY70" s="80"/>
      <c r="CZ70" s="81"/>
      <c r="DA70" s="81"/>
      <c r="DB70" s="81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3"/>
      <c r="DQ70" s="80"/>
      <c r="DR70" s="81"/>
      <c r="DS70" s="81"/>
      <c r="DT70" s="81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3"/>
      <c r="EI70" s="80"/>
      <c r="EJ70" s="81"/>
      <c r="EK70" s="81"/>
      <c r="EL70" s="81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3"/>
    </row>
    <row r="71" spans="1:156">
      <c r="A71" s="11"/>
      <c r="B71" s="103" t="s">
        <v>123</v>
      </c>
      <c r="C71" s="113" t="s">
        <v>124</v>
      </c>
      <c r="D71" s="114"/>
      <c r="E71" s="114"/>
      <c r="F71" s="115"/>
      <c r="G71" s="75">
        <f t="shared" si="35"/>
        <v>26167.456400784871</v>
      </c>
      <c r="H71" s="76">
        <f t="shared" si="39"/>
        <v>21652.829637355189</v>
      </c>
      <c r="I71" s="77">
        <f t="shared" si="39"/>
        <v>0</v>
      </c>
      <c r="J71" s="77">
        <f t="shared" si="39"/>
        <v>0</v>
      </c>
      <c r="K71" s="77">
        <f t="shared" si="39"/>
        <v>0</v>
      </c>
      <c r="L71" s="78">
        <f t="shared" si="39"/>
        <v>0</v>
      </c>
      <c r="M71" s="78">
        <f t="shared" si="39"/>
        <v>4514.6267634296819</v>
      </c>
      <c r="N71" s="78">
        <f t="shared" si="39"/>
        <v>0</v>
      </c>
      <c r="O71" s="78">
        <f t="shared" si="39"/>
        <v>0</v>
      </c>
      <c r="P71" s="78">
        <f t="shared" si="39"/>
        <v>0</v>
      </c>
      <c r="Q71" s="78">
        <f t="shared" si="39"/>
        <v>0</v>
      </c>
      <c r="R71" s="78">
        <f t="shared" si="39"/>
        <v>0</v>
      </c>
      <c r="S71" s="78">
        <f t="shared" si="39"/>
        <v>0</v>
      </c>
      <c r="T71" s="78">
        <f t="shared" si="39"/>
        <v>0</v>
      </c>
      <c r="U71" s="78">
        <f t="shared" si="39"/>
        <v>0</v>
      </c>
      <c r="V71" s="78">
        <f t="shared" si="39"/>
        <v>0</v>
      </c>
      <c r="W71" s="78">
        <f t="shared" si="38"/>
        <v>0</v>
      </c>
      <c r="X71" s="78">
        <f t="shared" si="37"/>
        <v>0</v>
      </c>
      <c r="Y71" s="78">
        <f t="shared" si="37"/>
        <v>0</v>
      </c>
      <c r="Z71" s="79">
        <f>SIS064_F_Kitosirangospr2Elektrosenergi5</f>
        <v>0</v>
      </c>
      <c r="AA71" s="79">
        <f>SUM(SIS062_F_Kitosirangospr2Geriamojovande1,SIS063_F_Kitosirangospr2Geriamojovande1,SIS065_F_Kitosirangospr2Geriamojovande1)</f>
        <v>0</v>
      </c>
      <c r="AB71" s="79">
        <f>SUM(SIS062_F_Kitosirangospr2Paslaugaproduk8,SIS063_F_Kitosirangospr2Paslaugaproduk8,SIS065_F_Kitosirangospr2Paslaugaproduk8)</f>
        <v>0</v>
      </c>
      <c r="AC71" s="79">
        <f>SIS064_F_Kitosirangospr2Elektrosenergi6</f>
        <v>0</v>
      </c>
      <c r="AD71" s="79">
        <f>SUM(SIS062_F_Kitosirangospr2Paslaugaproduk9,SIS063_F_Kitosirangospr2Paslaugaproduk9,SIS065_F_Kitosirangospr2Paslaugaproduk9)</f>
        <v>0</v>
      </c>
      <c r="AE71" s="80">
        <v>21652.829637355189</v>
      </c>
      <c r="AF71" s="81">
        <v>0</v>
      </c>
      <c r="AG71" s="81">
        <v>0</v>
      </c>
      <c r="AH71" s="81">
        <v>0</v>
      </c>
      <c r="AI71" s="82">
        <v>0</v>
      </c>
      <c r="AJ71" s="82">
        <v>4514.6267634296819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83">
        <v>0</v>
      </c>
      <c r="AW71" s="80"/>
      <c r="AX71" s="81"/>
      <c r="AY71" s="81"/>
      <c r="AZ71" s="81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3"/>
      <c r="BO71" s="80"/>
      <c r="BP71" s="81"/>
      <c r="BQ71" s="81"/>
      <c r="BR71" s="81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3"/>
      <c r="CG71" s="80"/>
      <c r="CH71" s="81"/>
      <c r="CI71" s="81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3"/>
      <c r="CY71" s="80"/>
      <c r="CZ71" s="81"/>
      <c r="DA71" s="81"/>
      <c r="DB71" s="81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3"/>
      <c r="DQ71" s="80"/>
      <c r="DR71" s="81"/>
      <c r="DS71" s="81"/>
      <c r="DT71" s="81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3"/>
      <c r="EI71" s="80"/>
      <c r="EJ71" s="81"/>
      <c r="EK71" s="81"/>
      <c r="EL71" s="81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3"/>
    </row>
    <row r="72" spans="1:156">
      <c r="A72" s="11"/>
      <c r="B72" s="103" t="s">
        <v>125</v>
      </c>
      <c r="C72" s="113" t="s">
        <v>126</v>
      </c>
      <c r="D72" s="114"/>
      <c r="E72" s="114"/>
      <c r="F72" s="115"/>
      <c r="G72" s="75">
        <f t="shared" si="35"/>
        <v>0</v>
      </c>
      <c r="H72" s="76">
        <f t="shared" si="39"/>
        <v>0</v>
      </c>
      <c r="I72" s="77">
        <f t="shared" si="39"/>
        <v>0</v>
      </c>
      <c r="J72" s="77">
        <f t="shared" si="39"/>
        <v>0</v>
      </c>
      <c r="K72" s="77">
        <f t="shared" si="39"/>
        <v>0</v>
      </c>
      <c r="L72" s="78">
        <f t="shared" si="39"/>
        <v>0</v>
      </c>
      <c r="M72" s="78">
        <f t="shared" si="39"/>
        <v>0</v>
      </c>
      <c r="N72" s="78">
        <f t="shared" si="39"/>
        <v>0</v>
      </c>
      <c r="O72" s="78">
        <f t="shared" si="39"/>
        <v>0</v>
      </c>
      <c r="P72" s="78">
        <f t="shared" si="39"/>
        <v>0</v>
      </c>
      <c r="Q72" s="78">
        <f t="shared" si="39"/>
        <v>0</v>
      </c>
      <c r="R72" s="78">
        <f t="shared" si="39"/>
        <v>0</v>
      </c>
      <c r="S72" s="78">
        <f t="shared" si="39"/>
        <v>0</v>
      </c>
      <c r="T72" s="78">
        <f t="shared" si="39"/>
        <v>0</v>
      </c>
      <c r="U72" s="78">
        <f t="shared" si="39"/>
        <v>0</v>
      </c>
      <c r="V72" s="78">
        <f t="shared" si="39"/>
        <v>0</v>
      </c>
      <c r="W72" s="78">
        <f t="shared" si="38"/>
        <v>0</v>
      </c>
      <c r="X72" s="78">
        <f t="shared" si="37"/>
        <v>0</v>
      </c>
      <c r="Y72" s="78">
        <f t="shared" si="37"/>
        <v>0</v>
      </c>
      <c r="Z72" s="79">
        <f>SIS064_F_Kitosirangospr3Elektrosenergi5</f>
        <v>0</v>
      </c>
      <c r="AA72" s="79">
        <f>SUM(SIS062_F_Kitosirangospr3Geriamojovande1,SIS063_F_Kitosirangospr3Geriamojovande1,SIS065_F_Kitosirangospr3Geriamojovande1)</f>
        <v>0</v>
      </c>
      <c r="AB72" s="79">
        <f>SUM(SIS062_F_Kitosirangospr3Paslaugaproduk8,SIS063_F_Kitosirangospr3Paslaugaproduk8,SIS065_F_Kitosirangospr3Paslaugaproduk8)</f>
        <v>0</v>
      </c>
      <c r="AC72" s="79">
        <f>SIS064_F_Kitosirangospr3Elektrosenergi6</f>
        <v>0</v>
      </c>
      <c r="AD72" s="79">
        <f>SUM(SIS062_F_Kitosirangospr3Paslaugaproduk9,SIS063_F_Kitosirangospr3Paslaugaproduk9,SIS065_F_Kitosirangospr3Paslaugaproduk9)</f>
        <v>0</v>
      </c>
      <c r="AE72" s="80">
        <v>0</v>
      </c>
      <c r="AF72" s="81">
        <v>0</v>
      </c>
      <c r="AG72" s="81">
        <v>0</v>
      </c>
      <c r="AH72" s="81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83">
        <v>0</v>
      </c>
      <c r="AW72" s="80"/>
      <c r="AX72" s="81"/>
      <c r="AY72" s="81"/>
      <c r="AZ72" s="81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3"/>
      <c r="BO72" s="80"/>
      <c r="BP72" s="81"/>
      <c r="BQ72" s="81"/>
      <c r="BR72" s="81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3"/>
      <c r="CG72" s="80"/>
      <c r="CH72" s="81"/>
      <c r="CI72" s="81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3"/>
      <c r="CY72" s="80"/>
      <c r="CZ72" s="81"/>
      <c r="DA72" s="81"/>
      <c r="DB72" s="81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3"/>
      <c r="DQ72" s="80"/>
      <c r="DR72" s="81"/>
      <c r="DS72" s="81"/>
      <c r="DT72" s="81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3"/>
      <c r="EI72" s="80"/>
      <c r="EJ72" s="81"/>
      <c r="EK72" s="81"/>
      <c r="EL72" s="81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3"/>
    </row>
    <row r="73" spans="1:156">
      <c r="A73" s="11"/>
      <c r="B73" s="103" t="s">
        <v>127</v>
      </c>
      <c r="C73" s="113" t="s">
        <v>128</v>
      </c>
      <c r="D73" s="114"/>
      <c r="E73" s="114"/>
      <c r="F73" s="115"/>
      <c r="G73" s="75">
        <f t="shared" si="35"/>
        <v>0</v>
      </c>
      <c r="H73" s="76">
        <f t="shared" si="39"/>
        <v>0</v>
      </c>
      <c r="I73" s="77">
        <f t="shared" si="39"/>
        <v>0</v>
      </c>
      <c r="J73" s="77">
        <f t="shared" si="39"/>
        <v>0</v>
      </c>
      <c r="K73" s="77">
        <f t="shared" si="39"/>
        <v>0</v>
      </c>
      <c r="L73" s="78">
        <f t="shared" si="39"/>
        <v>0</v>
      </c>
      <c r="M73" s="78">
        <f t="shared" si="39"/>
        <v>0</v>
      </c>
      <c r="N73" s="78">
        <f t="shared" si="39"/>
        <v>0</v>
      </c>
      <c r="O73" s="78">
        <f t="shared" si="39"/>
        <v>0</v>
      </c>
      <c r="P73" s="78">
        <f t="shared" si="39"/>
        <v>0</v>
      </c>
      <c r="Q73" s="78">
        <f t="shared" si="39"/>
        <v>0</v>
      </c>
      <c r="R73" s="78">
        <f t="shared" si="39"/>
        <v>0</v>
      </c>
      <c r="S73" s="78">
        <f t="shared" si="39"/>
        <v>0</v>
      </c>
      <c r="T73" s="78">
        <f t="shared" si="39"/>
        <v>0</v>
      </c>
      <c r="U73" s="78">
        <f t="shared" si="39"/>
        <v>0</v>
      </c>
      <c r="V73" s="78">
        <f t="shared" si="39"/>
        <v>0</v>
      </c>
      <c r="W73" s="78">
        <f t="shared" si="38"/>
        <v>0</v>
      </c>
      <c r="X73" s="78">
        <f t="shared" si="37"/>
        <v>0</v>
      </c>
      <c r="Y73" s="78">
        <f t="shared" si="37"/>
        <v>0</v>
      </c>
      <c r="Z73" s="79">
        <f>SIS064_F_Kitosirangospr4Elektrosenergi5</f>
        <v>0</v>
      </c>
      <c r="AA73" s="79">
        <f>SUM(SIS062_F_Kitosirangospr4Geriamojovande1,SIS063_F_Kitosirangospr4Geriamojovande1,SIS065_F_Kitosirangospr4Geriamojovande1)</f>
        <v>0</v>
      </c>
      <c r="AB73" s="79">
        <f>SUM(SIS062_F_Kitosirangospr4Paslaugaproduk8,SIS063_F_Kitosirangospr4Paslaugaproduk8,SIS065_F_Kitosirangospr4Paslaugaproduk8)</f>
        <v>0</v>
      </c>
      <c r="AC73" s="79">
        <f>SIS064_F_Kitosirangospr4Elektrosenergi6</f>
        <v>0</v>
      </c>
      <c r="AD73" s="79">
        <f>SUM(SIS062_F_Kitosirangospr4Paslaugaproduk9,SIS063_F_Kitosirangospr4Paslaugaproduk9,SIS065_F_Kitosirangospr4Paslaugaproduk9)</f>
        <v>0</v>
      </c>
      <c r="AE73" s="80">
        <v>0</v>
      </c>
      <c r="AF73" s="81">
        <v>0</v>
      </c>
      <c r="AG73" s="81">
        <v>0</v>
      </c>
      <c r="AH73" s="81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2">
        <v>0</v>
      </c>
      <c r="AV73" s="83">
        <v>0</v>
      </c>
      <c r="AW73" s="80"/>
      <c r="AX73" s="81"/>
      <c r="AY73" s="81"/>
      <c r="AZ73" s="81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3"/>
      <c r="BO73" s="80"/>
      <c r="BP73" s="81"/>
      <c r="BQ73" s="81"/>
      <c r="BR73" s="81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3"/>
      <c r="CG73" s="80"/>
      <c r="CH73" s="81"/>
      <c r="CI73" s="81"/>
      <c r="CJ73" s="81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3"/>
      <c r="CY73" s="80"/>
      <c r="CZ73" s="81"/>
      <c r="DA73" s="81"/>
      <c r="DB73" s="81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0"/>
      <c r="DR73" s="81"/>
      <c r="DS73" s="81"/>
      <c r="DT73" s="81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3"/>
      <c r="EI73" s="80"/>
      <c r="EJ73" s="81"/>
      <c r="EK73" s="81"/>
      <c r="EL73" s="81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3"/>
    </row>
    <row r="74" spans="1:156">
      <c r="A74" s="11"/>
      <c r="B74" s="103" t="s">
        <v>129</v>
      </c>
      <c r="C74" s="113" t="s">
        <v>130</v>
      </c>
      <c r="D74" s="114"/>
      <c r="E74" s="114"/>
      <c r="F74" s="115"/>
      <c r="G74" s="75">
        <f t="shared" si="35"/>
        <v>9965.4125971567537</v>
      </c>
      <c r="H74" s="76">
        <f t="shared" si="39"/>
        <v>9965.4126138659612</v>
      </c>
      <c r="I74" s="77">
        <f t="shared" si="39"/>
        <v>0</v>
      </c>
      <c r="J74" s="77">
        <f t="shared" si="39"/>
        <v>-7.355957045561445E-13</v>
      </c>
      <c r="K74" s="77">
        <f t="shared" si="39"/>
        <v>0</v>
      </c>
      <c r="L74" s="78">
        <f t="shared" si="39"/>
        <v>0</v>
      </c>
      <c r="M74" s="78">
        <f t="shared" si="39"/>
        <v>1.9839547342836511E-5</v>
      </c>
      <c r="N74" s="78">
        <f t="shared" si="39"/>
        <v>0</v>
      </c>
      <c r="O74" s="78">
        <f t="shared" si="39"/>
        <v>0</v>
      </c>
      <c r="P74" s="78">
        <f t="shared" si="39"/>
        <v>-8.8087174646741746E-6</v>
      </c>
      <c r="Q74" s="78">
        <f t="shared" si="39"/>
        <v>-4.5591497674106025E-6</v>
      </c>
      <c r="R74" s="78">
        <f t="shared" si="39"/>
        <v>0</v>
      </c>
      <c r="S74" s="78">
        <f t="shared" si="39"/>
        <v>-3.2150732698172517E-7</v>
      </c>
      <c r="T74" s="78">
        <f t="shared" si="39"/>
        <v>0</v>
      </c>
      <c r="U74" s="78">
        <f t="shared" si="39"/>
        <v>0</v>
      </c>
      <c r="V74" s="78">
        <f t="shared" si="39"/>
        <v>0</v>
      </c>
      <c r="W74" s="78">
        <f t="shared" si="38"/>
        <v>0</v>
      </c>
      <c r="X74" s="78">
        <f t="shared" si="37"/>
        <v>0</v>
      </c>
      <c r="Y74" s="78">
        <f t="shared" si="37"/>
        <v>0</v>
      </c>
      <c r="Z74" s="79">
        <f>SIS064_F_Transportoprie1Elektrosenergi5</f>
        <v>0</v>
      </c>
      <c r="AA74" s="79">
        <f>SUM(SIS062_F_Transportoprie1Geriamojovande1,SIS063_F_Transportoprie1Geriamojovande1,SIS065_F_Transportoprie1Geriamojovande1)</f>
        <v>0</v>
      </c>
      <c r="AB74" s="79">
        <f>SUM(SIS062_F_Transportoprie1Paslaugaproduk8,SIS063_F_Transportoprie1Paslaugaproduk8,SIS065_F_Transportoprie1Paslaugaproduk8)</f>
        <v>0</v>
      </c>
      <c r="AC74" s="79">
        <f>SIS064_F_Transportoprie1Elektrosenergi6</f>
        <v>0</v>
      </c>
      <c r="AD74" s="79">
        <f>SUM(SIS062_F_Transportoprie1Paslaugaproduk9,SIS063_F_Transportoprie1Paslaugaproduk9,SIS065_F_Transportoprie1Paslaugaproduk9)</f>
        <v>-2.2859378319801795E-5</v>
      </c>
      <c r="AE74" s="80">
        <v>9965.4126138659612</v>
      </c>
      <c r="AF74" s="81">
        <v>0</v>
      </c>
      <c r="AG74" s="81">
        <v>-7.355957045561445E-13</v>
      </c>
      <c r="AH74" s="81">
        <v>0</v>
      </c>
      <c r="AI74" s="82">
        <v>0</v>
      </c>
      <c r="AJ74" s="82">
        <v>1.9839547342836511E-5</v>
      </c>
      <c r="AK74" s="82">
        <v>0</v>
      </c>
      <c r="AL74" s="82">
        <v>0</v>
      </c>
      <c r="AM74" s="82">
        <v>-8.8087174646741746E-6</v>
      </c>
      <c r="AN74" s="82">
        <v>-4.5591497674106025E-6</v>
      </c>
      <c r="AO74" s="82">
        <v>0</v>
      </c>
      <c r="AP74" s="82">
        <v>-3.2150732698172517E-7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83">
        <v>0</v>
      </c>
      <c r="AW74" s="80"/>
      <c r="AX74" s="81"/>
      <c r="AY74" s="81"/>
      <c r="AZ74" s="81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3"/>
      <c r="BO74" s="80"/>
      <c r="BP74" s="81"/>
      <c r="BQ74" s="81"/>
      <c r="BR74" s="81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3"/>
      <c r="CG74" s="80"/>
      <c r="CH74" s="81"/>
      <c r="CI74" s="81"/>
      <c r="CJ74" s="81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3"/>
      <c r="CY74" s="80"/>
      <c r="CZ74" s="81"/>
      <c r="DA74" s="81"/>
      <c r="DB74" s="81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3"/>
      <c r="DQ74" s="80"/>
      <c r="DR74" s="81"/>
      <c r="DS74" s="81"/>
      <c r="DT74" s="81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3"/>
      <c r="EI74" s="80"/>
      <c r="EJ74" s="81"/>
      <c r="EK74" s="81"/>
      <c r="EL74" s="81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3"/>
    </row>
    <row r="75" spans="1:156">
      <c r="A75" s="11"/>
      <c r="B75" s="103" t="s">
        <v>131</v>
      </c>
      <c r="C75" s="92" t="s">
        <v>132</v>
      </c>
      <c r="D75" s="93"/>
      <c r="E75" s="93"/>
      <c r="F75" s="94"/>
      <c r="G75" s="75">
        <f t="shared" si="35"/>
        <v>9635.4756119004887</v>
      </c>
      <c r="H75" s="76">
        <f t="shared" si="39"/>
        <v>8806.2174803476119</v>
      </c>
      <c r="I75" s="77">
        <f t="shared" si="39"/>
        <v>0</v>
      </c>
      <c r="J75" s="77">
        <f t="shared" si="39"/>
        <v>3.854104291226088E-6</v>
      </c>
      <c r="K75" s="77">
        <f t="shared" si="39"/>
        <v>0</v>
      </c>
      <c r="L75" s="78">
        <f t="shared" si="39"/>
        <v>0</v>
      </c>
      <c r="M75" s="78">
        <f t="shared" si="39"/>
        <v>404.56338454391857</v>
      </c>
      <c r="N75" s="78">
        <f t="shared" si="39"/>
        <v>0</v>
      </c>
      <c r="O75" s="78">
        <f t="shared" si="39"/>
        <v>0</v>
      </c>
      <c r="P75" s="78">
        <f t="shared" si="39"/>
        <v>129.07269063006501</v>
      </c>
      <c r="Q75" s="78">
        <f t="shared" si="39"/>
        <v>23.887359012682325</v>
      </c>
      <c r="R75" s="78">
        <f t="shared" si="39"/>
        <v>0</v>
      </c>
      <c r="S75" s="78">
        <f t="shared" si="39"/>
        <v>1.6845160472063627</v>
      </c>
      <c r="T75" s="78">
        <f t="shared" si="39"/>
        <v>0</v>
      </c>
      <c r="U75" s="78">
        <f t="shared" si="39"/>
        <v>0</v>
      </c>
      <c r="V75" s="78">
        <f t="shared" si="39"/>
        <v>0</v>
      </c>
      <c r="W75" s="78">
        <f t="shared" si="38"/>
        <v>0</v>
      </c>
      <c r="X75" s="78">
        <f t="shared" si="37"/>
        <v>0</v>
      </c>
      <c r="Y75" s="78">
        <f t="shared" si="37"/>
        <v>0</v>
      </c>
      <c r="Z75" s="79">
        <f>SIS064_F_Kitomaterialau1Elektrosenergi5</f>
        <v>0</v>
      </c>
      <c r="AA75" s="79">
        <f>SUM(SIS062_F_Kitomaterialau1Geriamojovande1,SIS063_F_Kitomaterialau1Geriamojovande1,SIS065_F_Kitomaterialau1Geriamojovande1)</f>
        <v>0</v>
      </c>
      <c r="AB75" s="79">
        <f>SUM(SIS062_F_Kitomaterialau1Paslaugaproduk8,SIS063_F_Kitomaterialau1Paslaugaproduk8,SIS065_F_Kitomaterialau1Paslaugaproduk8)</f>
        <v>0</v>
      </c>
      <c r="AC75" s="79">
        <f>SIS064_F_Kitomaterialau1Elektrosenergi6</f>
        <v>0</v>
      </c>
      <c r="AD75" s="79">
        <f>SUM(SIS062_F_Kitomaterialau1Paslaugaproduk9,SIS063_F_Kitomaterialau1Paslaugaproduk9,SIS065_F_Kitomaterialau1Paslaugaproduk9)</f>
        <v>270.05017746490154</v>
      </c>
      <c r="AE75" s="80">
        <v>8806.2174803476119</v>
      </c>
      <c r="AF75" s="81">
        <v>0</v>
      </c>
      <c r="AG75" s="81">
        <v>3.854104291226088E-6</v>
      </c>
      <c r="AH75" s="81">
        <v>0</v>
      </c>
      <c r="AI75" s="82">
        <v>0</v>
      </c>
      <c r="AJ75" s="82">
        <v>404.56338454391857</v>
      </c>
      <c r="AK75" s="82">
        <v>0</v>
      </c>
      <c r="AL75" s="82">
        <v>0</v>
      </c>
      <c r="AM75" s="82">
        <v>129.07269063006501</v>
      </c>
      <c r="AN75" s="82">
        <v>23.887359012682325</v>
      </c>
      <c r="AO75" s="82">
        <v>0</v>
      </c>
      <c r="AP75" s="82">
        <v>1.6845160472063627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3">
        <v>0</v>
      </c>
      <c r="AW75" s="80"/>
      <c r="AX75" s="81"/>
      <c r="AY75" s="81"/>
      <c r="AZ75" s="81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3"/>
      <c r="BO75" s="80"/>
      <c r="BP75" s="81"/>
      <c r="BQ75" s="81"/>
      <c r="BR75" s="81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3"/>
      <c r="CG75" s="80"/>
      <c r="CH75" s="81"/>
      <c r="CI75" s="81"/>
      <c r="CJ75" s="81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3"/>
      <c r="CY75" s="80"/>
      <c r="CZ75" s="81"/>
      <c r="DA75" s="81"/>
      <c r="DB75" s="81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3"/>
      <c r="DQ75" s="80"/>
      <c r="DR75" s="81"/>
      <c r="DS75" s="81"/>
      <c r="DT75" s="81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3"/>
      <c r="EI75" s="80"/>
      <c r="EJ75" s="81"/>
      <c r="EK75" s="81"/>
      <c r="EL75" s="81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3"/>
    </row>
    <row r="76" spans="1:156">
      <c r="A76" s="11"/>
      <c r="B76" s="103" t="s">
        <v>133</v>
      </c>
      <c r="C76" s="92" t="s">
        <v>134</v>
      </c>
      <c r="D76" s="93"/>
      <c r="E76" s="93"/>
      <c r="F76" s="94"/>
      <c r="G76" s="75">
        <f t="shared" si="35"/>
        <v>0</v>
      </c>
      <c r="H76" s="76">
        <f t="shared" si="39"/>
        <v>0</v>
      </c>
      <c r="I76" s="77">
        <f t="shared" si="39"/>
        <v>0</v>
      </c>
      <c r="J76" s="77">
        <f t="shared" si="39"/>
        <v>0</v>
      </c>
      <c r="K76" s="77">
        <f t="shared" si="39"/>
        <v>0</v>
      </c>
      <c r="L76" s="78">
        <f t="shared" si="39"/>
        <v>0</v>
      </c>
      <c r="M76" s="78">
        <f t="shared" si="39"/>
        <v>0</v>
      </c>
      <c r="N76" s="78">
        <f t="shared" si="39"/>
        <v>0</v>
      </c>
      <c r="O76" s="78">
        <f t="shared" si="39"/>
        <v>0</v>
      </c>
      <c r="P76" s="78">
        <f t="shared" si="39"/>
        <v>0</v>
      </c>
      <c r="Q76" s="78">
        <f t="shared" si="39"/>
        <v>0</v>
      </c>
      <c r="R76" s="78">
        <f t="shared" si="39"/>
        <v>0</v>
      </c>
      <c r="S76" s="78">
        <f t="shared" si="39"/>
        <v>0</v>
      </c>
      <c r="T76" s="78">
        <f t="shared" si="39"/>
        <v>0</v>
      </c>
      <c r="U76" s="78">
        <f t="shared" si="39"/>
        <v>0</v>
      </c>
      <c r="V76" s="78">
        <f t="shared" si="39"/>
        <v>0</v>
      </c>
      <c r="W76" s="78">
        <f t="shared" si="38"/>
        <v>0</v>
      </c>
      <c r="X76" s="78">
        <f t="shared" si="37"/>
        <v>0</v>
      </c>
      <c r="Y76" s="78">
        <f t="shared" si="37"/>
        <v>0</v>
      </c>
      <c r="Z76" s="79">
        <f>SIS064_F_Investiciniotu1Elektrosenergi5</f>
        <v>0</v>
      </c>
      <c r="AA76" s="79">
        <f>SUM(SIS062_F_Investiciniotu1Geriamojovande1,SIS063_F_Investiciniotu1Geriamojovande1,SIS065_F_Investiciniotu1Geriamojovande1)</f>
        <v>0</v>
      </c>
      <c r="AB76" s="79">
        <f>SUM(SIS062_F_Investiciniotu1Paslaugaproduk8,SIS063_F_Investiciniotu1Paslaugaproduk8,SIS065_F_Investiciniotu1Paslaugaproduk8)</f>
        <v>0</v>
      </c>
      <c r="AC76" s="79">
        <f>SIS064_F_Investiciniotu1Elektrosenergi6</f>
        <v>0</v>
      </c>
      <c r="AD76" s="79">
        <f>SUM(SIS062_F_Investiciniotu1Paslaugaproduk9,SIS063_F_Investiciniotu1Paslaugaproduk9,SIS065_F_Investiciniotu1Paslaugaproduk9)</f>
        <v>0</v>
      </c>
      <c r="AE76" s="80">
        <v>0</v>
      </c>
      <c r="AF76" s="81">
        <v>0</v>
      </c>
      <c r="AG76" s="81">
        <v>0</v>
      </c>
      <c r="AH76" s="81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2">
        <v>0</v>
      </c>
      <c r="AU76" s="82">
        <v>0</v>
      </c>
      <c r="AV76" s="83">
        <v>0</v>
      </c>
      <c r="AW76" s="80"/>
      <c r="AX76" s="81"/>
      <c r="AY76" s="81"/>
      <c r="AZ76" s="81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3"/>
      <c r="BO76" s="80"/>
      <c r="BP76" s="81"/>
      <c r="BQ76" s="81"/>
      <c r="BR76" s="81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3"/>
      <c r="CG76" s="80"/>
      <c r="CH76" s="81"/>
      <c r="CI76" s="81"/>
      <c r="CJ76" s="81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3"/>
      <c r="CY76" s="80"/>
      <c r="CZ76" s="81"/>
      <c r="DA76" s="81"/>
      <c r="DB76" s="81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3"/>
      <c r="DQ76" s="80"/>
      <c r="DR76" s="81"/>
      <c r="DS76" s="81"/>
      <c r="DT76" s="81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3"/>
      <c r="EI76" s="80"/>
      <c r="EJ76" s="81"/>
      <c r="EK76" s="81"/>
      <c r="EL76" s="81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3"/>
    </row>
    <row r="77" spans="1:156">
      <c r="A77" s="11"/>
      <c r="B77" s="103" t="s">
        <v>135</v>
      </c>
      <c r="C77" s="92" t="s">
        <v>136</v>
      </c>
      <c r="D77" s="93"/>
      <c r="E77" s="93"/>
      <c r="F77" s="94"/>
      <c r="G77" s="75">
        <f t="shared" si="35"/>
        <v>0</v>
      </c>
      <c r="H77" s="76">
        <f t="shared" si="39"/>
        <v>0</v>
      </c>
      <c r="I77" s="77">
        <f t="shared" si="39"/>
        <v>0</v>
      </c>
      <c r="J77" s="77">
        <f t="shared" si="39"/>
        <v>0</v>
      </c>
      <c r="K77" s="77">
        <f t="shared" si="39"/>
        <v>0</v>
      </c>
      <c r="L77" s="78">
        <f t="shared" si="39"/>
        <v>0</v>
      </c>
      <c r="M77" s="78">
        <f t="shared" si="39"/>
        <v>0</v>
      </c>
      <c r="N77" s="78">
        <f t="shared" si="39"/>
        <v>0</v>
      </c>
      <c r="O77" s="78">
        <f t="shared" si="39"/>
        <v>0</v>
      </c>
      <c r="P77" s="78">
        <f t="shared" si="39"/>
        <v>0</v>
      </c>
      <c r="Q77" s="78">
        <f t="shared" si="39"/>
        <v>0</v>
      </c>
      <c r="R77" s="78">
        <f t="shared" si="39"/>
        <v>0</v>
      </c>
      <c r="S77" s="78">
        <f t="shared" si="39"/>
        <v>0</v>
      </c>
      <c r="T77" s="78">
        <f t="shared" si="39"/>
        <v>0</v>
      </c>
      <c r="U77" s="78">
        <f t="shared" si="39"/>
        <v>0</v>
      </c>
      <c r="V77" s="78">
        <f t="shared" si="39"/>
        <v>0</v>
      </c>
      <c r="W77" s="78">
        <f t="shared" si="38"/>
        <v>0</v>
      </c>
      <c r="X77" s="78">
        <f t="shared" si="37"/>
        <v>0</v>
      </c>
      <c r="Y77" s="78">
        <f t="shared" si="37"/>
        <v>0</v>
      </c>
      <c r="Z77" s="79">
        <f>SIS064_F_Kitoilgalaikio1Elektrosenergi5</f>
        <v>0</v>
      </c>
      <c r="AA77" s="79">
        <f>SUM(SIS062_F_Kitoilgalaikio1Geriamojovande1,SIS063_F_Kitoilgalaikio1Geriamojovande1,SIS065_F_Kitoilgalaikio1Geriamojovande1)</f>
        <v>0</v>
      </c>
      <c r="AB77" s="79">
        <f>SUM(SIS062_F_Kitoilgalaikio1Paslaugaproduk8,SIS063_F_Kitoilgalaikio1Paslaugaproduk8,SIS065_F_Kitoilgalaikio1Paslaugaproduk8)</f>
        <v>0</v>
      </c>
      <c r="AC77" s="79">
        <f>SIS064_F_Kitoilgalaikio1Elektrosenergi6</f>
        <v>0</v>
      </c>
      <c r="AD77" s="79">
        <f>SUM(SIS062_F_Kitoilgalaikio1Paslaugaproduk9,SIS063_F_Kitoilgalaikio1Paslaugaproduk9,SIS065_F_Kitoilgalaikio1Paslaugaproduk9)</f>
        <v>0</v>
      </c>
      <c r="AE77" s="80">
        <v>0</v>
      </c>
      <c r="AF77" s="81">
        <v>0</v>
      </c>
      <c r="AG77" s="81">
        <v>0</v>
      </c>
      <c r="AH77" s="81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2">
        <v>0</v>
      </c>
      <c r="AU77" s="82">
        <v>0</v>
      </c>
      <c r="AV77" s="83">
        <v>0</v>
      </c>
      <c r="AW77" s="80"/>
      <c r="AX77" s="81"/>
      <c r="AY77" s="81"/>
      <c r="AZ77" s="81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3"/>
      <c r="BO77" s="80"/>
      <c r="BP77" s="81"/>
      <c r="BQ77" s="81"/>
      <c r="BR77" s="81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3"/>
      <c r="CG77" s="80"/>
      <c r="CH77" s="81"/>
      <c r="CI77" s="81"/>
      <c r="CJ77" s="81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3"/>
      <c r="CY77" s="80"/>
      <c r="CZ77" s="81"/>
      <c r="DA77" s="81"/>
      <c r="DB77" s="81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3"/>
      <c r="DQ77" s="80"/>
      <c r="DR77" s="81"/>
      <c r="DS77" s="81"/>
      <c r="DT77" s="81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3"/>
      <c r="EI77" s="80"/>
      <c r="EJ77" s="81"/>
      <c r="EK77" s="81"/>
      <c r="EL77" s="81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3"/>
    </row>
    <row r="78" spans="1:156">
      <c r="A78" s="11"/>
      <c r="B78" s="84" t="s">
        <v>137</v>
      </c>
      <c r="C78" s="109" t="s">
        <v>138</v>
      </c>
      <c r="D78" s="110"/>
      <c r="E78" s="110"/>
      <c r="F78" s="111"/>
      <c r="G78" s="101">
        <f t="shared" ref="G78:AD78" si="40">SUM(G79:G104)</f>
        <v>320520.69</v>
      </c>
      <c r="H78" s="88">
        <f t="shared" si="40"/>
        <v>191747.73205892486</v>
      </c>
      <c r="I78" s="89">
        <f t="shared" si="40"/>
        <v>0</v>
      </c>
      <c r="J78" s="89">
        <f t="shared" si="40"/>
        <v>7.8640988688417292E-6</v>
      </c>
      <c r="K78" s="89">
        <f t="shared" si="40"/>
        <v>0</v>
      </c>
      <c r="L78" s="90">
        <f t="shared" si="40"/>
        <v>0</v>
      </c>
      <c r="M78" s="90">
        <f t="shared" si="40"/>
        <v>43702.842907989936</v>
      </c>
      <c r="N78" s="90">
        <f t="shared" si="40"/>
        <v>0</v>
      </c>
      <c r="O78" s="90">
        <f t="shared" si="40"/>
        <v>0</v>
      </c>
      <c r="P78" s="90">
        <f t="shared" si="40"/>
        <v>94.17214459087873</v>
      </c>
      <c r="Q78" s="90">
        <f t="shared" si="40"/>
        <v>15717.74091067512</v>
      </c>
      <c r="R78" s="90">
        <f t="shared" si="40"/>
        <v>0</v>
      </c>
      <c r="S78" s="90">
        <f t="shared" si="40"/>
        <v>1671.707167170473</v>
      </c>
      <c r="T78" s="90">
        <f t="shared" si="40"/>
        <v>0</v>
      </c>
      <c r="U78" s="90">
        <f t="shared" si="40"/>
        <v>0</v>
      </c>
      <c r="V78" s="90">
        <f t="shared" si="40"/>
        <v>0</v>
      </c>
      <c r="W78" s="90">
        <f t="shared" si="40"/>
        <v>0</v>
      </c>
      <c r="X78" s="90">
        <f t="shared" si="40"/>
        <v>0</v>
      </c>
      <c r="Y78" s="90">
        <f t="shared" si="40"/>
        <v>0</v>
      </c>
      <c r="Z78" s="90">
        <f t="shared" si="40"/>
        <v>0</v>
      </c>
      <c r="AA78" s="90">
        <f t="shared" si="40"/>
        <v>0</v>
      </c>
      <c r="AB78" s="90">
        <f t="shared" si="40"/>
        <v>0</v>
      </c>
      <c r="AC78" s="90">
        <f t="shared" si="40"/>
        <v>0</v>
      </c>
      <c r="AD78" s="90">
        <f t="shared" si="40"/>
        <v>67586.49480278464</v>
      </c>
      <c r="AE78" s="88">
        <f t="shared" ref="AE78:CP78" si="41">SUM(AE79:AE104)</f>
        <v>191747.73205892486</v>
      </c>
      <c r="AF78" s="89">
        <f t="shared" si="41"/>
        <v>0</v>
      </c>
      <c r="AG78" s="89">
        <f t="shared" si="41"/>
        <v>7.8640988688417292E-6</v>
      </c>
      <c r="AH78" s="89">
        <f t="shared" si="41"/>
        <v>0</v>
      </c>
      <c r="AI78" s="90">
        <f t="shared" si="41"/>
        <v>0</v>
      </c>
      <c r="AJ78" s="90">
        <f t="shared" si="41"/>
        <v>43702.842907989936</v>
      </c>
      <c r="AK78" s="90">
        <f t="shared" si="41"/>
        <v>0</v>
      </c>
      <c r="AL78" s="90">
        <f t="shared" si="41"/>
        <v>0</v>
      </c>
      <c r="AM78" s="90">
        <f t="shared" si="41"/>
        <v>94.17214459087873</v>
      </c>
      <c r="AN78" s="90">
        <f t="shared" si="41"/>
        <v>15717.74091067512</v>
      </c>
      <c r="AO78" s="90">
        <f t="shared" si="41"/>
        <v>0</v>
      </c>
      <c r="AP78" s="90">
        <f t="shared" si="41"/>
        <v>1671.707167170473</v>
      </c>
      <c r="AQ78" s="90">
        <f t="shared" si="41"/>
        <v>0</v>
      </c>
      <c r="AR78" s="90">
        <f t="shared" si="41"/>
        <v>0</v>
      </c>
      <c r="AS78" s="90">
        <f t="shared" si="41"/>
        <v>0</v>
      </c>
      <c r="AT78" s="90">
        <f t="shared" si="41"/>
        <v>0</v>
      </c>
      <c r="AU78" s="90">
        <f t="shared" si="41"/>
        <v>0</v>
      </c>
      <c r="AV78" s="91">
        <f t="shared" si="41"/>
        <v>0</v>
      </c>
      <c r="AW78" s="88">
        <f t="shared" si="41"/>
        <v>0</v>
      </c>
      <c r="AX78" s="89">
        <f t="shared" si="41"/>
        <v>0</v>
      </c>
      <c r="AY78" s="89">
        <f t="shared" si="41"/>
        <v>0</v>
      </c>
      <c r="AZ78" s="89">
        <f t="shared" si="41"/>
        <v>0</v>
      </c>
      <c r="BA78" s="90">
        <f t="shared" si="41"/>
        <v>0</v>
      </c>
      <c r="BB78" s="90">
        <f t="shared" si="41"/>
        <v>0</v>
      </c>
      <c r="BC78" s="90">
        <f t="shared" si="41"/>
        <v>0</v>
      </c>
      <c r="BD78" s="90">
        <f t="shared" si="41"/>
        <v>0</v>
      </c>
      <c r="BE78" s="90">
        <f t="shared" si="41"/>
        <v>0</v>
      </c>
      <c r="BF78" s="90">
        <f t="shared" si="41"/>
        <v>0</v>
      </c>
      <c r="BG78" s="90">
        <f t="shared" si="41"/>
        <v>0</v>
      </c>
      <c r="BH78" s="90">
        <f t="shared" si="41"/>
        <v>0</v>
      </c>
      <c r="BI78" s="90">
        <f t="shared" si="41"/>
        <v>0</v>
      </c>
      <c r="BJ78" s="90">
        <f t="shared" si="41"/>
        <v>0</v>
      </c>
      <c r="BK78" s="90">
        <f t="shared" si="41"/>
        <v>0</v>
      </c>
      <c r="BL78" s="90">
        <f t="shared" si="41"/>
        <v>0</v>
      </c>
      <c r="BM78" s="90">
        <f t="shared" si="41"/>
        <v>0</v>
      </c>
      <c r="BN78" s="91">
        <f t="shared" si="41"/>
        <v>0</v>
      </c>
      <c r="BO78" s="88">
        <f t="shared" si="41"/>
        <v>0</v>
      </c>
      <c r="BP78" s="89">
        <f t="shared" si="41"/>
        <v>0</v>
      </c>
      <c r="BQ78" s="89">
        <f t="shared" si="41"/>
        <v>0</v>
      </c>
      <c r="BR78" s="89">
        <f t="shared" si="41"/>
        <v>0</v>
      </c>
      <c r="BS78" s="90">
        <f t="shared" si="41"/>
        <v>0</v>
      </c>
      <c r="BT78" s="90">
        <f t="shared" si="41"/>
        <v>0</v>
      </c>
      <c r="BU78" s="90">
        <f t="shared" si="41"/>
        <v>0</v>
      </c>
      <c r="BV78" s="90">
        <f t="shared" si="41"/>
        <v>0</v>
      </c>
      <c r="BW78" s="90">
        <f t="shared" si="41"/>
        <v>0</v>
      </c>
      <c r="BX78" s="90">
        <f t="shared" si="41"/>
        <v>0</v>
      </c>
      <c r="BY78" s="90">
        <f t="shared" si="41"/>
        <v>0</v>
      </c>
      <c r="BZ78" s="90">
        <f t="shared" si="41"/>
        <v>0</v>
      </c>
      <c r="CA78" s="90">
        <f t="shared" si="41"/>
        <v>0</v>
      </c>
      <c r="CB78" s="90">
        <f t="shared" si="41"/>
        <v>0</v>
      </c>
      <c r="CC78" s="90">
        <f t="shared" si="41"/>
        <v>0</v>
      </c>
      <c r="CD78" s="90">
        <f t="shared" si="41"/>
        <v>0</v>
      </c>
      <c r="CE78" s="90">
        <f t="shared" si="41"/>
        <v>0</v>
      </c>
      <c r="CF78" s="91">
        <f t="shared" si="41"/>
        <v>0</v>
      </c>
      <c r="CG78" s="88">
        <f t="shared" si="41"/>
        <v>0</v>
      </c>
      <c r="CH78" s="89">
        <f t="shared" si="41"/>
        <v>0</v>
      </c>
      <c r="CI78" s="89">
        <f t="shared" si="41"/>
        <v>0</v>
      </c>
      <c r="CJ78" s="89">
        <f t="shared" si="41"/>
        <v>0</v>
      </c>
      <c r="CK78" s="90">
        <f t="shared" si="41"/>
        <v>0</v>
      </c>
      <c r="CL78" s="90">
        <f t="shared" si="41"/>
        <v>0</v>
      </c>
      <c r="CM78" s="90">
        <f t="shared" si="41"/>
        <v>0</v>
      </c>
      <c r="CN78" s="90">
        <f t="shared" si="41"/>
        <v>0</v>
      </c>
      <c r="CO78" s="90">
        <f t="shared" si="41"/>
        <v>0</v>
      </c>
      <c r="CP78" s="90">
        <f t="shared" si="41"/>
        <v>0</v>
      </c>
      <c r="CQ78" s="90">
        <f t="shared" ref="CQ78:EZ78" si="42">SUM(CQ79:CQ104)</f>
        <v>0</v>
      </c>
      <c r="CR78" s="90">
        <f t="shared" si="42"/>
        <v>0</v>
      </c>
      <c r="CS78" s="90">
        <f t="shared" si="42"/>
        <v>0</v>
      </c>
      <c r="CT78" s="90">
        <f t="shared" si="42"/>
        <v>0</v>
      </c>
      <c r="CU78" s="90">
        <f t="shared" si="42"/>
        <v>0</v>
      </c>
      <c r="CV78" s="90">
        <f t="shared" si="42"/>
        <v>0</v>
      </c>
      <c r="CW78" s="90">
        <f t="shared" si="42"/>
        <v>0</v>
      </c>
      <c r="CX78" s="91">
        <f t="shared" si="42"/>
        <v>0</v>
      </c>
      <c r="CY78" s="88">
        <f t="shared" si="42"/>
        <v>0</v>
      </c>
      <c r="CZ78" s="89">
        <f t="shared" si="42"/>
        <v>0</v>
      </c>
      <c r="DA78" s="89">
        <f t="shared" si="42"/>
        <v>0</v>
      </c>
      <c r="DB78" s="89">
        <f t="shared" si="42"/>
        <v>0</v>
      </c>
      <c r="DC78" s="90">
        <f t="shared" si="42"/>
        <v>0</v>
      </c>
      <c r="DD78" s="90">
        <f t="shared" si="42"/>
        <v>0</v>
      </c>
      <c r="DE78" s="90">
        <f t="shared" si="42"/>
        <v>0</v>
      </c>
      <c r="DF78" s="90">
        <f t="shared" si="42"/>
        <v>0</v>
      </c>
      <c r="DG78" s="90">
        <f t="shared" si="42"/>
        <v>0</v>
      </c>
      <c r="DH78" s="90">
        <f t="shared" si="42"/>
        <v>0</v>
      </c>
      <c r="DI78" s="90">
        <f t="shared" si="42"/>
        <v>0</v>
      </c>
      <c r="DJ78" s="90">
        <f t="shared" si="42"/>
        <v>0</v>
      </c>
      <c r="DK78" s="90">
        <f t="shared" si="42"/>
        <v>0</v>
      </c>
      <c r="DL78" s="90">
        <f t="shared" si="42"/>
        <v>0</v>
      </c>
      <c r="DM78" s="90">
        <f t="shared" si="42"/>
        <v>0</v>
      </c>
      <c r="DN78" s="90">
        <f t="shared" si="42"/>
        <v>0</v>
      </c>
      <c r="DO78" s="90">
        <f t="shared" si="42"/>
        <v>0</v>
      </c>
      <c r="DP78" s="91">
        <f t="shared" si="42"/>
        <v>0</v>
      </c>
      <c r="DQ78" s="88">
        <f t="shared" si="42"/>
        <v>0</v>
      </c>
      <c r="DR78" s="89">
        <f t="shared" si="42"/>
        <v>0</v>
      </c>
      <c r="DS78" s="89">
        <f t="shared" si="42"/>
        <v>0</v>
      </c>
      <c r="DT78" s="89">
        <f t="shared" si="42"/>
        <v>0</v>
      </c>
      <c r="DU78" s="90">
        <f t="shared" si="42"/>
        <v>0</v>
      </c>
      <c r="DV78" s="90">
        <f t="shared" si="42"/>
        <v>0</v>
      </c>
      <c r="DW78" s="90">
        <f t="shared" si="42"/>
        <v>0</v>
      </c>
      <c r="DX78" s="90">
        <f t="shared" si="42"/>
        <v>0</v>
      </c>
      <c r="DY78" s="90">
        <f t="shared" si="42"/>
        <v>0</v>
      </c>
      <c r="DZ78" s="90">
        <f t="shared" si="42"/>
        <v>0</v>
      </c>
      <c r="EA78" s="90">
        <f t="shared" si="42"/>
        <v>0</v>
      </c>
      <c r="EB78" s="90">
        <f t="shared" si="42"/>
        <v>0</v>
      </c>
      <c r="EC78" s="90">
        <f t="shared" si="42"/>
        <v>0</v>
      </c>
      <c r="ED78" s="90">
        <f t="shared" si="42"/>
        <v>0</v>
      </c>
      <c r="EE78" s="90">
        <f t="shared" si="42"/>
        <v>0</v>
      </c>
      <c r="EF78" s="90">
        <f t="shared" si="42"/>
        <v>0</v>
      </c>
      <c r="EG78" s="90">
        <f t="shared" si="42"/>
        <v>0</v>
      </c>
      <c r="EH78" s="91">
        <f t="shared" si="42"/>
        <v>0</v>
      </c>
      <c r="EI78" s="88">
        <f t="shared" si="42"/>
        <v>0</v>
      </c>
      <c r="EJ78" s="89">
        <f t="shared" si="42"/>
        <v>0</v>
      </c>
      <c r="EK78" s="89">
        <f t="shared" si="42"/>
        <v>0</v>
      </c>
      <c r="EL78" s="89">
        <f t="shared" si="42"/>
        <v>0</v>
      </c>
      <c r="EM78" s="90">
        <f t="shared" si="42"/>
        <v>0</v>
      </c>
      <c r="EN78" s="90">
        <f t="shared" si="42"/>
        <v>0</v>
      </c>
      <c r="EO78" s="90">
        <f t="shared" si="42"/>
        <v>0</v>
      </c>
      <c r="EP78" s="90">
        <f t="shared" si="42"/>
        <v>0</v>
      </c>
      <c r="EQ78" s="90">
        <f t="shared" si="42"/>
        <v>0</v>
      </c>
      <c r="ER78" s="90">
        <f t="shared" si="42"/>
        <v>0</v>
      </c>
      <c r="ES78" s="90">
        <f t="shared" si="42"/>
        <v>0</v>
      </c>
      <c r="ET78" s="90">
        <f t="shared" si="42"/>
        <v>0</v>
      </c>
      <c r="EU78" s="90">
        <f t="shared" si="42"/>
        <v>0</v>
      </c>
      <c r="EV78" s="90">
        <f t="shared" si="42"/>
        <v>0</v>
      </c>
      <c r="EW78" s="90">
        <f t="shared" si="42"/>
        <v>0</v>
      </c>
      <c r="EX78" s="90">
        <f t="shared" si="42"/>
        <v>0</v>
      </c>
      <c r="EY78" s="90">
        <f t="shared" si="42"/>
        <v>0</v>
      </c>
      <c r="EZ78" s="91">
        <f t="shared" si="42"/>
        <v>0</v>
      </c>
    </row>
    <row r="79" spans="1:156">
      <c r="A79" s="11"/>
      <c r="B79" s="71" t="s">
        <v>139</v>
      </c>
      <c r="C79" s="92" t="s">
        <v>140</v>
      </c>
      <c r="D79" s="93"/>
      <c r="E79" s="93"/>
      <c r="F79" s="94"/>
      <c r="G79" s="75">
        <f t="shared" ref="G79:G104" si="43">SUM(H79:AD79)</f>
        <v>51622.30999999999</v>
      </c>
      <c r="H79" s="117">
        <f t="shared" ref="H79:W94" si="44">SUM(AE79,AW79,BO79,CG79,CY79,DQ79,EI79)</f>
        <v>51622.30999999999</v>
      </c>
      <c r="I79" s="118">
        <f t="shared" si="44"/>
        <v>0</v>
      </c>
      <c r="J79" s="118">
        <f t="shared" si="44"/>
        <v>0</v>
      </c>
      <c r="K79" s="118">
        <f t="shared" si="44"/>
        <v>0</v>
      </c>
      <c r="L79" s="79">
        <f t="shared" si="44"/>
        <v>0</v>
      </c>
      <c r="M79" s="78">
        <f t="shared" si="44"/>
        <v>0</v>
      </c>
      <c r="N79" s="78">
        <f t="shared" si="44"/>
        <v>0</v>
      </c>
      <c r="O79" s="78">
        <f t="shared" si="44"/>
        <v>0</v>
      </c>
      <c r="P79" s="78">
        <f t="shared" si="44"/>
        <v>0</v>
      </c>
      <c r="Q79" s="78">
        <f t="shared" si="44"/>
        <v>0</v>
      </c>
      <c r="R79" s="78">
        <f t="shared" si="44"/>
        <v>0</v>
      </c>
      <c r="S79" s="78">
        <f t="shared" si="44"/>
        <v>0</v>
      </c>
      <c r="T79" s="78">
        <f t="shared" si="44"/>
        <v>0</v>
      </c>
      <c r="U79" s="78">
        <f t="shared" si="44"/>
        <v>0</v>
      </c>
      <c r="V79" s="78">
        <f t="shared" si="44"/>
        <v>0</v>
      </c>
      <c r="W79" s="78">
        <f t="shared" si="44"/>
        <v>0</v>
      </c>
      <c r="X79" s="78">
        <f t="shared" ref="X79:Y104" si="45">SUM(AU79,BM79,CE79,CW79,DO79,EG79,EY79)</f>
        <v>0</v>
      </c>
      <c r="Y79" s="78">
        <f t="shared" si="45"/>
        <v>0</v>
      </c>
      <c r="Z79" s="79">
        <f>SIS064_F_Gamybosobjektu1Elektrosenergi5</f>
        <v>0</v>
      </c>
      <c r="AA79" s="79">
        <f>SUM(SIS062_F_Gamybosobjektu1Geriamojovande1,SIS063_F_Gamybosobjektu1Geriamojovande1,SIS065_F_Gamybosobjektu1Geriamojovande1)</f>
        <v>0</v>
      </c>
      <c r="AB79" s="79">
        <f>SUM(SIS062_F_Gamybosobjektu1Paslaugaproduk8,SIS063_F_Gamybosobjektu1Paslaugaproduk8,SIS065_F_Gamybosobjektu1Paslaugaproduk8)</f>
        <v>0</v>
      </c>
      <c r="AC79" s="79">
        <f>SIS064_F_Gamybosobjektu1Elektrosenergi6</f>
        <v>0</v>
      </c>
      <c r="AD79" s="79">
        <f>SUM(SIS062_F_Gamybosobjektu1Paslaugaproduk9,SIS063_F_Gamybosobjektu1Paslaugaproduk9,SIS065_F_Gamybosobjektu1Paslaugaproduk9)</f>
        <v>0</v>
      </c>
      <c r="AE79" s="80">
        <v>51622.30999999999</v>
      </c>
      <c r="AF79" s="81">
        <v>0</v>
      </c>
      <c r="AG79" s="81">
        <v>0</v>
      </c>
      <c r="AH79" s="81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2">
        <v>0</v>
      </c>
      <c r="AU79" s="82">
        <v>0</v>
      </c>
      <c r="AV79" s="83">
        <v>0</v>
      </c>
      <c r="AW79" s="80"/>
      <c r="AX79" s="81"/>
      <c r="AY79" s="81"/>
      <c r="AZ79" s="81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3"/>
      <c r="BO79" s="80"/>
      <c r="BP79" s="81"/>
      <c r="BQ79" s="81"/>
      <c r="BR79" s="81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3"/>
      <c r="CG79" s="80"/>
      <c r="CH79" s="81"/>
      <c r="CI79" s="81"/>
      <c r="CJ79" s="81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3"/>
      <c r="CY79" s="80"/>
      <c r="CZ79" s="81"/>
      <c r="DA79" s="81"/>
      <c r="DB79" s="81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3"/>
      <c r="DQ79" s="80"/>
      <c r="DR79" s="81"/>
      <c r="DS79" s="81"/>
      <c r="DT79" s="81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3"/>
      <c r="EI79" s="80"/>
      <c r="EJ79" s="81"/>
      <c r="EK79" s="81"/>
      <c r="EL79" s="81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3"/>
    </row>
    <row r="80" spans="1:156">
      <c r="A80" s="11"/>
      <c r="B80" s="71" t="s">
        <v>141</v>
      </c>
      <c r="C80" s="92" t="s">
        <v>142</v>
      </c>
      <c r="D80" s="93"/>
      <c r="E80" s="93"/>
      <c r="F80" s="94"/>
      <c r="G80" s="75">
        <f t="shared" si="43"/>
        <v>1968.45</v>
      </c>
      <c r="H80" s="117">
        <f t="shared" si="44"/>
        <v>0</v>
      </c>
      <c r="I80" s="118">
        <f t="shared" si="44"/>
        <v>0</v>
      </c>
      <c r="J80" s="118">
        <f t="shared" si="44"/>
        <v>0</v>
      </c>
      <c r="K80" s="118">
        <f t="shared" si="44"/>
        <v>0</v>
      </c>
      <c r="L80" s="79">
        <f t="shared" si="44"/>
        <v>0</v>
      </c>
      <c r="M80" s="78">
        <f t="shared" si="44"/>
        <v>1968.45</v>
      </c>
      <c r="N80" s="78">
        <f t="shared" si="44"/>
        <v>0</v>
      </c>
      <c r="O80" s="78">
        <f t="shared" si="44"/>
        <v>0</v>
      </c>
      <c r="P80" s="78">
        <f t="shared" si="44"/>
        <v>0</v>
      </c>
      <c r="Q80" s="78">
        <f t="shared" si="44"/>
        <v>0</v>
      </c>
      <c r="R80" s="78">
        <f t="shared" si="44"/>
        <v>0</v>
      </c>
      <c r="S80" s="78">
        <f t="shared" si="44"/>
        <v>0</v>
      </c>
      <c r="T80" s="78">
        <f t="shared" si="44"/>
        <v>0</v>
      </c>
      <c r="U80" s="78">
        <f t="shared" si="44"/>
        <v>0</v>
      </c>
      <c r="V80" s="78">
        <f t="shared" si="44"/>
        <v>0</v>
      </c>
      <c r="W80" s="78">
        <f t="shared" si="44"/>
        <v>0</v>
      </c>
      <c r="X80" s="78">
        <f t="shared" si="45"/>
        <v>0</v>
      </c>
      <c r="Y80" s="78">
        <f t="shared" si="45"/>
        <v>0</v>
      </c>
      <c r="Z80" s="79">
        <f>SIS064_F_Tinklueinamojo1Elektrosenergi5</f>
        <v>0</v>
      </c>
      <c r="AA80" s="79">
        <f>SUM(SIS062_F_Tinklueinamojo1Geriamojovande1,SIS063_F_Tinklueinamojo1Geriamojovande1,SIS065_F_Tinklueinamojo1Geriamojovande1)</f>
        <v>0</v>
      </c>
      <c r="AB80" s="79">
        <f>SUM(SIS062_F_Tinklueinamojo1Paslaugaproduk8,SIS063_F_Tinklueinamojo1Paslaugaproduk8,SIS065_F_Tinklueinamojo1Paslaugaproduk8)</f>
        <v>0</v>
      </c>
      <c r="AC80" s="79">
        <f>SIS064_F_Tinklueinamojo1Elektrosenergi6</f>
        <v>0</v>
      </c>
      <c r="AD80" s="79">
        <f>SUM(SIS062_F_Tinklueinamojo1Paslaugaproduk9,SIS063_F_Tinklueinamojo1Paslaugaproduk9,SIS065_F_Tinklueinamojo1Paslaugaproduk9)</f>
        <v>0</v>
      </c>
      <c r="AE80" s="80">
        <v>0</v>
      </c>
      <c r="AF80" s="81">
        <v>0</v>
      </c>
      <c r="AG80" s="81">
        <v>0</v>
      </c>
      <c r="AH80" s="81">
        <v>0</v>
      </c>
      <c r="AI80" s="82">
        <v>0</v>
      </c>
      <c r="AJ80" s="82">
        <v>1968.45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83">
        <v>0</v>
      </c>
      <c r="AW80" s="80"/>
      <c r="AX80" s="81"/>
      <c r="AY80" s="81"/>
      <c r="AZ80" s="81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3"/>
      <c r="BO80" s="80"/>
      <c r="BP80" s="81"/>
      <c r="BQ80" s="81"/>
      <c r="BR80" s="81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3"/>
      <c r="CG80" s="80"/>
      <c r="CH80" s="81"/>
      <c r="CI80" s="81"/>
      <c r="CJ80" s="81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3"/>
      <c r="CY80" s="80"/>
      <c r="CZ80" s="81"/>
      <c r="DA80" s="81"/>
      <c r="DB80" s="81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3"/>
      <c r="DQ80" s="80"/>
      <c r="DR80" s="81"/>
      <c r="DS80" s="81"/>
      <c r="DT80" s="81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3"/>
      <c r="EI80" s="80"/>
      <c r="EJ80" s="81"/>
      <c r="EK80" s="81"/>
      <c r="EL80" s="81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3"/>
    </row>
    <row r="81" spans="1:156">
      <c r="A81" s="11"/>
      <c r="B81" s="71" t="s">
        <v>143</v>
      </c>
      <c r="C81" s="92" t="s">
        <v>144</v>
      </c>
      <c r="D81" s="93"/>
      <c r="E81" s="93"/>
      <c r="F81" s="94"/>
      <c r="G81" s="75">
        <f t="shared" si="43"/>
        <v>0</v>
      </c>
      <c r="H81" s="117">
        <f t="shared" si="44"/>
        <v>0</v>
      </c>
      <c r="I81" s="118">
        <f t="shared" si="44"/>
        <v>0</v>
      </c>
      <c r="J81" s="118">
        <f t="shared" si="44"/>
        <v>0</v>
      </c>
      <c r="K81" s="118">
        <f t="shared" si="44"/>
        <v>0</v>
      </c>
      <c r="L81" s="79">
        <f t="shared" si="44"/>
        <v>0</v>
      </c>
      <c r="M81" s="78">
        <f t="shared" si="44"/>
        <v>0</v>
      </c>
      <c r="N81" s="78">
        <f t="shared" si="44"/>
        <v>0</v>
      </c>
      <c r="O81" s="78">
        <f t="shared" si="44"/>
        <v>0</v>
      </c>
      <c r="P81" s="78">
        <f t="shared" si="44"/>
        <v>0</v>
      </c>
      <c r="Q81" s="78">
        <f t="shared" si="44"/>
        <v>0</v>
      </c>
      <c r="R81" s="78">
        <f t="shared" si="44"/>
        <v>0</v>
      </c>
      <c r="S81" s="78">
        <f t="shared" si="44"/>
        <v>0</v>
      </c>
      <c r="T81" s="78">
        <f t="shared" si="44"/>
        <v>0</v>
      </c>
      <c r="U81" s="78">
        <f t="shared" si="44"/>
        <v>0</v>
      </c>
      <c r="V81" s="78">
        <f t="shared" si="44"/>
        <v>0</v>
      </c>
      <c r="W81" s="78">
        <f t="shared" si="44"/>
        <v>0</v>
      </c>
      <c r="X81" s="78">
        <f t="shared" si="45"/>
        <v>0</v>
      </c>
      <c r="Y81" s="78">
        <f t="shared" si="45"/>
        <v>0</v>
      </c>
      <c r="Z81" s="79">
        <f>SIS064_F_Silumospunktue1Elektrosenergi5</f>
        <v>0</v>
      </c>
      <c r="AA81" s="79">
        <f>SUM(SIS062_F_Silumospunktue1Geriamojovande1,SIS063_F_Silumospunktue1Geriamojovande1,SIS065_F_Silumospunktue1Geriamojovande1)</f>
        <v>0</v>
      </c>
      <c r="AB81" s="79">
        <f>SUM(SIS062_F_Silumospunktue1Paslaugaproduk8,SIS063_F_Silumospunktue1Paslaugaproduk8,SIS065_F_Silumospunktue1Paslaugaproduk8)</f>
        <v>0</v>
      </c>
      <c r="AC81" s="79">
        <f>SIS064_F_Silumospunktue1Elektrosenergi6</f>
        <v>0</v>
      </c>
      <c r="AD81" s="79">
        <f>SUM(SIS062_F_Silumospunktue1Paslaugaproduk9,SIS063_F_Silumospunktue1Paslaugaproduk9,SIS065_F_Silumospunktue1Paslaugaproduk9)</f>
        <v>0</v>
      </c>
      <c r="AE81" s="80">
        <v>0</v>
      </c>
      <c r="AF81" s="81">
        <v>0</v>
      </c>
      <c r="AG81" s="81">
        <v>0</v>
      </c>
      <c r="AH81" s="81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83">
        <v>0</v>
      </c>
      <c r="AW81" s="80"/>
      <c r="AX81" s="81"/>
      <c r="AY81" s="81"/>
      <c r="AZ81" s="81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3"/>
      <c r="BO81" s="80"/>
      <c r="BP81" s="81"/>
      <c r="BQ81" s="81"/>
      <c r="BR81" s="81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3"/>
      <c r="CG81" s="80"/>
      <c r="CH81" s="81"/>
      <c r="CI81" s="81"/>
      <c r="CJ81" s="81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3"/>
      <c r="CY81" s="80"/>
      <c r="CZ81" s="81"/>
      <c r="DA81" s="81"/>
      <c r="DB81" s="81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3"/>
      <c r="DQ81" s="80"/>
      <c r="DR81" s="81"/>
      <c r="DS81" s="81"/>
      <c r="DT81" s="81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3"/>
      <c r="EI81" s="80"/>
      <c r="EJ81" s="81"/>
      <c r="EK81" s="81"/>
      <c r="EL81" s="81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3"/>
    </row>
    <row r="82" spans="1:156">
      <c r="A82" s="11"/>
      <c r="B82" s="71" t="s">
        <v>145</v>
      </c>
      <c r="C82" s="92" t="s">
        <v>146</v>
      </c>
      <c r="D82" s="93"/>
      <c r="E82" s="93"/>
      <c r="F82" s="94"/>
      <c r="G82" s="75">
        <f t="shared" si="43"/>
        <v>39417.390000000007</v>
      </c>
      <c r="H82" s="117">
        <f t="shared" si="44"/>
        <v>30801.140000000007</v>
      </c>
      <c r="I82" s="118">
        <f t="shared" si="44"/>
        <v>0</v>
      </c>
      <c r="J82" s="118">
        <f t="shared" si="44"/>
        <v>0</v>
      </c>
      <c r="K82" s="118">
        <f t="shared" si="44"/>
        <v>0</v>
      </c>
      <c r="L82" s="79">
        <f t="shared" si="44"/>
        <v>0</v>
      </c>
      <c r="M82" s="78">
        <f t="shared" si="44"/>
        <v>8616.25</v>
      </c>
      <c r="N82" s="78">
        <f t="shared" si="44"/>
        <v>0</v>
      </c>
      <c r="O82" s="78">
        <f t="shared" si="44"/>
        <v>0</v>
      </c>
      <c r="P82" s="78">
        <f t="shared" si="44"/>
        <v>0</v>
      </c>
      <c r="Q82" s="78">
        <f t="shared" si="44"/>
        <v>0</v>
      </c>
      <c r="R82" s="78">
        <f t="shared" si="44"/>
        <v>0</v>
      </c>
      <c r="S82" s="78">
        <f t="shared" si="44"/>
        <v>0</v>
      </c>
      <c r="T82" s="78">
        <f t="shared" si="44"/>
        <v>0</v>
      </c>
      <c r="U82" s="78">
        <f t="shared" si="44"/>
        <v>0</v>
      </c>
      <c r="V82" s="78">
        <f t="shared" si="44"/>
        <v>0</v>
      </c>
      <c r="W82" s="78">
        <f t="shared" si="44"/>
        <v>0</v>
      </c>
      <c r="X82" s="78">
        <f t="shared" si="45"/>
        <v>0</v>
      </c>
      <c r="Y82" s="78">
        <f t="shared" si="45"/>
        <v>0</v>
      </c>
      <c r="Z82" s="79">
        <f>SIS064_F_Itaptarnavimos1Elektrosenergi5</f>
        <v>0</v>
      </c>
      <c r="AA82" s="79">
        <f>SUM(SIS062_F_Itaptarnavimos1Geriamojovande1,SIS063_F_Itaptarnavimos1Geriamojovande1,SIS065_F_Itaptarnavimos1Geriamojovande1)</f>
        <v>0</v>
      </c>
      <c r="AB82" s="79">
        <f>SUM(SIS062_F_Itaptarnavimos1Paslaugaproduk8,SIS063_F_Itaptarnavimos1Paslaugaproduk8,SIS065_F_Itaptarnavimos1Paslaugaproduk8)</f>
        <v>0</v>
      </c>
      <c r="AC82" s="79">
        <f>SIS064_F_Itaptarnavimos1Elektrosenergi6</f>
        <v>0</v>
      </c>
      <c r="AD82" s="79">
        <f>SUM(SIS062_F_Itaptarnavimos1Paslaugaproduk9,SIS063_F_Itaptarnavimos1Paslaugaproduk9,SIS065_F_Itaptarnavimos1Paslaugaproduk9)</f>
        <v>0</v>
      </c>
      <c r="AE82" s="80">
        <v>30801.140000000007</v>
      </c>
      <c r="AF82" s="81">
        <v>0</v>
      </c>
      <c r="AG82" s="81">
        <v>0</v>
      </c>
      <c r="AH82" s="81">
        <v>0</v>
      </c>
      <c r="AI82" s="82">
        <v>0</v>
      </c>
      <c r="AJ82" s="82">
        <v>8616.25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83">
        <v>0</v>
      </c>
      <c r="AW82" s="80"/>
      <c r="AX82" s="81"/>
      <c r="AY82" s="81"/>
      <c r="AZ82" s="81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3"/>
      <c r="BO82" s="80"/>
      <c r="BP82" s="81"/>
      <c r="BQ82" s="81"/>
      <c r="BR82" s="81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3"/>
      <c r="CG82" s="80"/>
      <c r="CH82" s="81"/>
      <c r="CI82" s="81"/>
      <c r="CJ82" s="81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3"/>
      <c r="CY82" s="80"/>
      <c r="CZ82" s="81"/>
      <c r="DA82" s="81"/>
      <c r="DB82" s="81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3"/>
      <c r="DQ82" s="80"/>
      <c r="DR82" s="81"/>
      <c r="DS82" s="81"/>
      <c r="DT82" s="81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3"/>
      <c r="EI82" s="80"/>
      <c r="EJ82" s="81"/>
      <c r="EK82" s="81"/>
      <c r="EL82" s="81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3"/>
    </row>
    <row r="83" spans="1:156">
      <c r="A83" s="11"/>
      <c r="B83" s="71" t="s">
        <v>147</v>
      </c>
      <c r="C83" s="92" t="s">
        <v>148</v>
      </c>
      <c r="D83" s="93"/>
      <c r="E83" s="93"/>
      <c r="F83" s="94"/>
      <c r="G83" s="75">
        <f t="shared" si="43"/>
        <v>0</v>
      </c>
      <c r="H83" s="117">
        <f t="shared" si="44"/>
        <v>0</v>
      </c>
      <c r="I83" s="118">
        <f t="shared" si="44"/>
        <v>0</v>
      </c>
      <c r="J83" s="118">
        <f t="shared" si="44"/>
        <v>0</v>
      </c>
      <c r="K83" s="118">
        <f t="shared" si="44"/>
        <v>0</v>
      </c>
      <c r="L83" s="79">
        <f t="shared" si="44"/>
        <v>0</v>
      </c>
      <c r="M83" s="78">
        <f t="shared" si="44"/>
        <v>0</v>
      </c>
      <c r="N83" s="78">
        <f t="shared" si="44"/>
        <v>0</v>
      </c>
      <c r="O83" s="78">
        <f t="shared" si="44"/>
        <v>0</v>
      </c>
      <c r="P83" s="78">
        <f t="shared" si="44"/>
        <v>0</v>
      </c>
      <c r="Q83" s="78">
        <f t="shared" si="44"/>
        <v>0</v>
      </c>
      <c r="R83" s="78">
        <f t="shared" si="44"/>
        <v>0</v>
      </c>
      <c r="S83" s="78">
        <f t="shared" si="44"/>
        <v>0</v>
      </c>
      <c r="T83" s="78">
        <f t="shared" si="44"/>
        <v>0</v>
      </c>
      <c r="U83" s="78">
        <f t="shared" si="44"/>
        <v>0</v>
      </c>
      <c r="V83" s="78">
        <f t="shared" si="44"/>
        <v>0</v>
      </c>
      <c r="W83" s="78">
        <f t="shared" si="44"/>
        <v>0</v>
      </c>
      <c r="X83" s="78">
        <f t="shared" si="45"/>
        <v>0</v>
      </c>
      <c r="Y83" s="78">
        <f t="shared" si="45"/>
        <v>0</v>
      </c>
      <c r="Z83" s="79">
        <f>SIS064_F_Kituobjektunur1Elektrosenergi5</f>
        <v>0</v>
      </c>
      <c r="AA83" s="79">
        <f>SUM(SIS062_F_Kituobjektunur1Geriamojovande1,SIS063_F_Kituobjektunur1Geriamojovande1,SIS065_F_Kituobjektunur1Geriamojovande1)</f>
        <v>0</v>
      </c>
      <c r="AB83" s="79">
        <f>SUM(SIS062_F_Kituobjektunur1Paslaugaproduk8,SIS063_F_Kituobjektunur1Paslaugaproduk8,SIS065_F_Kituobjektunur1Paslaugaproduk8)</f>
        <v>0</v>
      </c>
      <c r="AC83" s="79">
        <f>SIS064_F_Kituobjektunur1Elektrosenergi6</f>
        <v>0</v>
      </c>
      <c r="AD83" s="79">
        <f>SUM(SIS062_F_Kituobjektunur1Paslaugaproduk9,SIS063_F_Kituobjektunur1Paslaugaproduk9,SIS065_F_Kituobjektunur1Paslaugaproduk9)</f>
        <v>0</v>
      </c>
      <c r="AE83" s="80">
        <v>0</v>
      </c>
      <c r="AF83" s="81">
        <v>0</v>
      </c>
      <c r="AG83" s="81">
        <v>0</v>
      </c>
      <c r="AH83" s="81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83">
        <v>0</v>
      </c>
      <c r="AW83" s="80"/>
      <c r="AX83" s="81"/>
      <c r="AY83" s="81"/>
      <c r="AZ83" s="81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3"/>
      <c r="BO83" s="80"/>
      <c r="BP83" s="81"/>
      <c r="BQ83" s="81"/>
      <c r="BR83" s="81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3"/>
      <c r="CG83" s="80"/>
      <c r="CH83" s="81"/>
      <c r="CI83" s="81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3"/>
      <c r="CY83" s="80"/>
      <c r="CZ83" s="81"/>
      <c r="DA83" s="81"/>
      <c r="DB83" s="81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3"/>
      <c r="DQ83" s="80"/>
      <c r="DR83" s="81"/>
      <c r="DS83" s="81"/>
      <c r="DT83" s="81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3"/>
      <c r="EI83" s="80"/>
      <c r="EJ83" s="81"/>
      <c r="EK83" s="81"/>
      <c r="EL83" s="81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3"/>
    </row>
    <row r="84" spans="1:156">
      <c r="A84" s="11"/>
      <c r="B84" s="71" t="s">
        <v>149</v>
      </c>
      <c r="C84" s="92" t="s">
        <v>150</v>
      </c>
      <c r="D84" s="93"/>
      <c r="E84" s="93"/>
      <c r="F84" s="94"/>
      <c r="G84" s="75">
        <f t="shared" si="43"/>
        <v>4359.92</v>
      </c>
      <c r="H84" s="117">
        <f t="shared" si="44"/>
        <v>4359.92</v>
      </c>
      <c r="I84" s="118">
        <f t="shared" si="44"/>
        <v>0</v>
      </c>
      <c r="J84" s="118">
        <f t="shared" si="44"/>
        <v>0</v>
      </c>
      <c r="K84" s="118">
        <f t="shared" si="44"/>
        <v>0</v>
      </c>
      <c r="L84" s="79">
        <f t="shared" si="44"/>
        <v>0</v>
      </c>
      <c r="M84" s="78">
        <f t="shared" si="44"/>
        <v>0</v>
      </c>
      <c r="N84" s="78">
        <f t="shared" si="44"/>
        <v>0</v>
      </c>
      <c r="O84" s="78">
        <f t="shared" si="44"/>
        <v>0</v>
      </c>
      <c r="P84" s="78">
        <f t="shared" si="44"/>
        <v>0</v>
      </c>
      <c r="Q84" s="78">
        <f t="shared" si="44"/>
        <v>0</v>
      </c>
      <c r="R84" s="78">
        <f t="shared" si="44"/>
        <v>0</v>
      </c>
      <c r="S84" s="78">
        <f t="shared" si="44"/>
        <v>0</v>
      </c>
      <c r="T84" s="78">
        <f t="shared" si="44"/>
        <v>0</v>
      </c>
      <c r="U84" s="78">
        <f t="shared" si="44"/>
        <v>0</v>
      </c>
      <c r="V84" s="78">
        <f t="shared" si="44"/>
        <v>0</v>
      </c>
      <c r="W84" s="78">
        <f t="shared" si="44"/>
        <v>0</v>
      </c>
      <c r="X84" s="78">
        <f t="shared" si="45"/>
        <v>0</v>
      </c>
      <c r="Y84" s="78">
        <f t="shared" si="45"/>
        <v>0</v>
      </c>
      <c r="Z84" s="79">
        <f>SIS064_F_Medziaguzaliav1Elektrosenergi5</f>
        <v>0</v>
      </c>
      <c r="AA84" s="79">
        <f>SUM(SIS062_F_Medziaguzaliav1Geriamojovande1,SIS063_F_Medziaguzaliav1Geriamojovande1,SIS065_F_Medziaguzaliav1Geriamojovande1)</f>
        <v>0</v>
      </c>
      <c r="AB84" s="79">
        <f>SUM(SIS062_F_Medziaguzaliav1Paslaugaproduk8,SIS063_F_Medziaguzaliav1Paslaugaproduk8,SIS065_F_Medziaguzaliav1Paslaugaproduk8)</f>
        <v>0</v>
      </c>
      <c r="AC84" s="79">
        <f>SIS064_F_Medziaguzaliav1Elektrosenergi6</f>
        <v>0</v>
      </c>
      <c r="AD84" s="79">
        <f>SUM(SIS062_F_Medziaguzaliav1Paslaugaproduk9,SIS063_F_Medziaguzaliav1Paslaugaproduk9,SIS065_F_Medziaguzaliav1Paslaugaproduk9)</f>
        <v>0</v>
      </c>
      <c r="AE84" s="80">
        <v>4359.92</v>
      </c>
      <c r="AF84" s="81">
        <v>0</v>
      </c>
      <c r="AG84" s="81">
        <v>0</v>
      </c>
      <c r="AH84" s="81">
        <v>0</v>
      </c>
      <c r="AI84" s="82">
        <v>0</v>
      </c>
      <c r="AJ84" s="82">
        <v>0</v>
      </c>
      <c r="AK84" s="82">
        <v>0</v>
      </c>
      <c r="AL84" s="82">
        <v>0</v>
      </c>
      <c r="AM84" s="82">
        <v>0</v>
      </c>
      <c r="AN84" s="82">
        <v>0</v>
      </c>
      <c r="AO84" s="82">
        <v>0</v>
      </c>
      <c r="AP84" s="82">
        <v>0</v>
      </c>
      <c r="AQ84" s="82">
        <v>0</v>
      </c>
      <c r="AR84" s="82">
        <v>0</v>
      </c>
      <c r="AS84" s="82">
        <v>0</v>
      </c>
      <c r="AT84" s="82">
        <v>0</v>
      </c>
      <c r="AU84" s="82">
        <v>0</v>
      </c>
      <c r="AV84" s="83">
        <v>0</v>
      </c>
      <c r="AW84" s="80"/>
      <c r="AX84" s="81"/>
      <c r="AY84" s="81"/>
      <c r="AZ84" s="81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3"/>
      <c r="BO84" s="80"/>
      <c r="BP84" s="81"/>
      <c r="BQ84" s="81"/>
      <c r="BR84" s="81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3"/>
      <c r="CG84" s="80"/>
      <c r="CH84" s="81"/>
      <c r="CI84" s="81"/>
      <c r="CJ84" s="81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3"/>
      <c r="CY84" s="80"/>
      <c r="CZ84" s="81"/>
      <c r="DA84" s="81"/>
      <c r="DB84" s="81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3"/>
      <c r="DQ84" s="80"/>
      <c r="DR84" s="81"/>
      <c r="DS84" s="81"/>
      <c r="DT84" s="81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3"/>
      <c r="EI84" s="80"/>
      <c r="EJ84" s="81"/>
      <c r="EK84" s="81"/>
      <c r="EL84" s="81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3"/>
    </row>
    <row r="85" spans="1:156">
      <c r="A85" s="11"/>
      <c r="B85" s="71" t="s">
        <v>151</v>
      </c>
      <c r="C85" s="92" t="s">
        <v>152</v>
      </c>
      <c r="D85" s="93"/>
      <c r="E85" s="93"/>
      <c r="F85" s="94"/>
      <c r="G85" s="75">
        <f t="shared" si="43"/>
        <v>4347.3899999999994</v>
      </c>
      <c r="H85" s="117">
        <f t="shared" si="44"/>
        <v>0</v>
      </c>
      <c r="I85" s="118">
        <f t="shared" si="44"/>
        <v>0</v>
      </c>
      <c r="J85" s="118">
        <f t="shared" si="44"/>
        <v>0</v>
      </c>
      <c r="K85" s="118">
        <f t="shared" si="44"/>
        <v>0</v>
      </c>
      <c r="L85" s="79">
        <f t="shared" si="44"/>
        <v>0</v>
      </c>
      <c r="M85" s="78">
        <f t="shared" si="44"/>
        <v>4347.3899999999994</v>
      </c>
      <c r="N85" s="78">
        <f t="shared" si="44"/>
        <v>0</v>
      </c>
      <c r="O85" s="78">
        <f t="shared" si="44"/>
        <v>0</v>
      </c>
      <c r="P85" s="78">
        <f t="shared" si="44"/>
        <v>0</v>
      </c>
      <c r="Q85" s="78">
        <f t="shared" si="44"/>
        <v>0</v>
      </c>
      <c r="R85" s="78">
        <f t="shared" si="44"/>
        <v>0</v>
      </c>
      <c r="S85" s="78">
        <f t="shared" si="44"/>
        <v>0</v>
      </c>
      <c r="T85" s="78">
        <f t="shared" si="44"/>
        <v>0</v>
      </c>
      <c r="U85" s="78">
        <f t="shared" si="44"/>
        <v>0</v>
      </c>
      <c r="V85" s="78">
        <f t="shared" si="44"/>
        <v>0</v>
      </c>
      <c r="W85" s="78">
        <f t="shared" si="44"/>
        <v>0</v>
      </c>
      <c r="X85" s="78">
        <f t="shared" si="45"/>
        <v>0</v>
      </c>
      <c r="Y85" s="78">
        <f t="shared" si="45"/>
        <v>0</v>
      </c>
      <c r="Z85" s="79">
        <f>SIS064_F_Medziaguzaliav2Elektrosenergi5</f>
        <v>0</v>
      </c>
      <c r="AA85" s="79">
        <f>SUM(SIS062_F_Medziaguzaliav2Geriamojovande1,SIS063_F_Medziaguzaliav2Geriamojovande1,SIS065_F_Medziaguzaliav2Geriamojovande1)</f>
        <v>0</v>
      </c>
      <c r="AB85" s="79">
        <f>SUM(SIS062_F_Medziaguzaliav2Paslaugaproduk8,SIS063_F_Medziaguzaliav2Paslaugaproduk8,SIS065_F_Medziaguzaliav2Paslaugaproduk8)</f>
        <v>0</v>
      </c>
      <c r="AC85" s="79">
        <f>SIS064_F_Medziaguzaliav2Elektrosenergi6</f>
        <v>0</v>
      </c>
      <c r="AD85" s="79">
        <f>SUM(SIS062_F_Medziaguzaliav2Paslaugaproduk9,SIS063_F_Medziaguzaliav2Paslaugaproduk9,SIS065_F_Medziaguzaliav2Paslaugaproduk9)</f>
        <v>0</v>
      </c>
      <c r="AE85" s="80">
        <v>0</v>
      </c>
      <c r="AF85" s="81">
        <v>0</v>
      </c>
      <c r="AG85" s="81">
        <v>0</v>
      </c>
      <c r="AH85" s="81">
        <v>0</v>
      </c>
      <c r="AI85" s="82">
        <v>0</v>
      </c>
      <c r="AJ85" s="82">
        <v>4347.3899999999994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83">
        <v>0</v>
      </c>
      <c r="AW85" s="80"/>
      <c r="AX85" s="81"/>
      <c r="AY85" s="81"/>
      <c r="AZ85" s="81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3"/>
      <c r="BO85" s="80"/>
      <c r="BP85" s="81"/>
      <c r="BQ85" s="81"/>
      <c r="BR85" s="81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3"/>
      <c r="CG85" s="80"/>
      <c r="CH85" s="81"/>
      <c r="CI85" s="81"/>
      <c r="CJ85" s="81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3"/>
      <c r="CY85" s="80"/>
      <c r="CZ85" s="81"/>
      <c r="DA85" s="81"/>
      <c r="DB85" s="81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3"/>
      <c r="DQ85" s="80"/>
      <c r="DR85" s="81"/>
      <c r="DS85" s="81"/>
      <c r="DT85" s="81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3"/>
      <c r="EI85" s="80"/>
      <c r="EJ85" s="81"/>
      <c r="EK85" s="81"/>
      <c r="EL85" s="81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3"/>
    </row>
    <row r="86" spans="1:156">
      <c r="A86" s="11"/>
      <c r="B86" s="71" t="s">
        <v>153</v>
      </c>
      <c r="C86" s="92" t="s">
        <v>154</v>
      </c>
      <c r="D86" s="93"/>
      <c r="E86" s="93"/>
      <c r="F86" s="94"/>
      <c r="G86" s="75">
        <f t="shared" si="43"/>
        <v>0</v>
      </c>
      <c r="H86" s="117">
        <f t="shared" si="44"/>
        <v>0</v>
      </c>
      <c r="I86" s="118">
        <f t="shared" si="44"/>
        <v>0</v>
      </c>
      <c r="J86" s="118">
        <f t="shared" si="44"/>
        <v>0</v>
      </c>
      <c r="K86" s="118">
        <f t="shared" si="44"/>
        <v>0</v>
      </c>
      <c r="L86" s="79">
        <f t="shared" si="44"/>
        <v>0</v>
      </c>
      <c r="M86" s="78">
        <f t="shared" si="44"/>
        <v>0</v>
      </c>
      <c r="N86" s="78">
        <f t="shared" si="44"/>
        <v>0</v>
      </c>
      <c r="O86" s="78">
        <f t="shared" si="44"/>
        <v>0</v>
      </c>
      <c r="P86" s="78">
        <f t="shared" si="44"/>
        <v>0</v>
      </c>
      <c r="Q86" s="78">
        <f t="shared" si="44"/>
        <v>0</v>
      </c>
      <c r="R86" s="78">
        <f t="shared" si="44"/>
        <v>0</v>
      </c>
      <c r="S86" s="78">
        <f t="shared" si="44"/>
        <v>0</v>
      </c>
      <c r="T86" s="78">
        <f t="shared" si="44"/>
        <v>0</v>
      </c>
      <c r="U86" s="78">
        <f t="shared" si="44"/>
        <v>0</v>
      </c>
      <c r="V86" s="78">
        <f t="shared" si="44"/>
        <v>0</v>
      </c>
      <c r="W86" s="78">
        <f t="shared" si="44"/>
        <v>0</v>
      </c>
      <c r="X86" s="78">
        <f t="shared" si="45"/>
        <v>0</v>
      </c>
      <c r="Y86" s="78">
        <f t="shared" si="45"/>
        <v>0</v>
      </c>
      <c r="Z86" s="79">
        <f>SIS064_F_Medziaguzaliav3Elektrosenergi5</f>
        <v>0</v>
      </c>
      <c r="AA86" s="79">
        <f>SUM(SIS062_F_Medziaguzaliav3Geriamojovande1,SIS063_F_Medziaguzaliav3Geriamojovande1,SIS065_F_Medziaguzaliav3Geriamojovande1)</f>
        <v>0</v>
      </c>
      <c r="AB86" s="79">
        <f>SUM(SIS062_F_Medziaguzaliav3Paslaugaproduk8,SIS063_F_Medziaguzaliav3Paslaugaproduk8,SIS065_F_Medziaguzaliav3Paslaugaproduk8)</f>
        <v>0</v>
      </c>
      <c r="AC86" s="79">
        <f>SIS064_F_Medziaguzaliav3Elektrosenergi6</f>
        <v>0</v>
      </c>
      <c r="AD86" s="79">
        <f>SUM(SIS062_F_Medziaguzaliav3Paslaugaproduk9,SIS063_F_Medziaguzaliav3Paslaugaproduk9,SIS065_F_Medziaguzaliav3Paslaugaproduk9)</f>
        <v>0</v>
      </c>
      <c r="AE86" s="80">
        <v>0</v>
      </c>
      <c r="AF86" s="81">
        <v>0</v>
      </c>
      <c r="AG86" s="81">
        <v>0</v>
      </c>
      <c r="AH86" s="81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83">
        <v>0</v>
      </c>
      <c r="AW86" s="80"/>
      <c r="AX86" s="81"/>
      <c r="AY86" s="81"/>
      <c r="AZ86" s="81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3"/>
      <c r="BO86" s="80"/>
      <c r="BP86" s="81"/>
      <c r="BQ86" s="81"/>
      <c r="BR86" s="81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3"/>
      <c r="CG86" s="80"/>
      <c r="CH86" s="81"/>
      <c r="CI86" s="81"/>
      <c r="CJ86" s="81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3"/>
      <c r="CY86" s="80"/>
      <c r="CZ86" s="81"/>
      <c r="DA86" s="81"/>
      <c r="DB86" s="81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3"/>
      <c r="DQ86" s="80"/>
      <c r="DR86" s="81"/>
      <c r="DS86" s="81"/>
      <c r="DT86" s="81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3"/>
      <c r="EI86" s="80"/>
      <c r="EJ86" s="81"/>
      <c r="EK86" s="81"/>
      <c r="EL86" s="81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3"/>
    </row>
    <row r="87" spans="1:156">
      <c r="A87" s="11"/>
      <c r="B87" s="71" t="s">
        <v>155</v>
      </c>
      <c r="C87" s="92" t="s">
        <v>156</v>
      </c>
      <c r="D87" s="93"/>
      <c r="E87" s="93"/>
      <c r="F87" s="94"/>
      <c r="G87" s="75">
        <f t="shared" si="43"/>
        <v>0</v>
      </c>
      <c r="H87" s="117">
        <f t="shared" si="44"/>
        <v>0</v>
      </c>
      <c r="I87" s="118">
        <f t="shared" si="44"/>
        <v>0</v>
      </c>
      <c r="J87" s="118">
        <f t="shared" si="44"/>
        <v>0</v>
      </c>
      <c r="K87" s="118">
        <f t="shared" si="44"/>
        <v>0</v>
      </c>
      <c r="L87" s="79">
        <f t="shared" si="44"/>
        <v>0</v>
      </c>
      <c r="M87" s="78">
        <f t="shared" si="44"/>
        <v>0</v>
      </c>
      <c r="N87" s="78">
        <f t="shared" si="44"/>
        <v>0</v>
      </c>
      <c r="O87" s="78">
        <f t="shared" si="44"/>
        <v>0</v>
      </c>
      <c r="P87" s="78">
        <f t="shared" si="44"/>
        <v>0</v>
      </c>
      <c r="Q87" s="78">
        <f t="shared" si="44"/>
        <v>0</v>
      </c>
      <c r="R87" s="78">
        <f t="shared" si="44"/>
        <v>0</v>
      </c>
      <c r="S87" s="78">
        <f t="shared" si="44"/>
        <v>0</v>
      </c>
      <c r="T87" s="78">
        <f t="shared" si="44"/>
        <v>0</v>
      </c>
      <c r="U87" s="78">
        <f t="shared" si="44"/>
        <v>0</v>
      </c>
      <c r="V87" s="78">
        <f t="shared" si="44"/>
        <v>0</v>
      </c>
      <c r="W87" s="78">
        <f t="shared" si="44"/>
        <v>0</v>
      </c>
      <c r="X87" s="78">
        <f t="shared" si="45"/>
        <v>0</v>
      </c>
      <c r="Y87" s="78">
        <f t="shared" si="45"/>
        <v>0</v>
      </c>
      <c r="Z87" s="79">
        <f>SIS064_F_Medziaguzaliav4Elektrosenergi5</f>
        <v>0</v>
      </c>
      <c r="AA87" s="79">
        <f>SUM(SIS062_F_Medziaguzaliav4Geriamojovande1,SIS063_F_Medziaguzaliav4Geriamojovande1,SIS065_F_Medziaguzaliav4Geriamojovande1)</f>
        <v>0</v>
      </c>
      <c r="AB87" s="79">
        <f>SUM(SIS062_F_Medziaguzaliav4Paslaugaproduk8,SIS063_F_Medziaguzaliav4Paslaugaproduk8,SIS065_F_Medziaguzaliav4Paslaugaproduk8)</f>
        <v>0</v>
      </c>
      <c r="AC87" s="79">
        <f>SIS064_F_Medziaguzaliav4Elektrosenergi6</f>
        <v>0</v>
      </c>
      <c r="AD87" s="79">
        <f>SUM(SIS062_F_Medziaguzaliav4Paslaugaproduk9,SIS063_F_Medziaguzaliav4Paslaugaproduk9,SIS065_F_Medziaguzaliav4Paslaugaproduk9)</f>
        <v>0</v>
      </c>
      <c r="AE87" s="80">
        <v>0</v>
      </c>
      <c r="AF87" s="81">
        <v>0</v>
      </c>
      <c r="AG87" s="81">
        <v>0</v>
      </c>
      <c r="AH87" s="81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3">
        <v>0</v>
      </c>
      <c r="AW87" s="80"/>
      <c r="AX87" s="81"/>
      <c r="AY87" s="81"/>
      <c r="AZ87" s="81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3"/>
      <c r="BO87" s="80"/>
      <c r="BP87" s="81"/>
      <c r="BQ87" s="81"/>
      <c r="BR87" s="81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3"/>
      <c r="CG87" s="80"/>
      <c r="CH87" s="81"/>
      <c r="CI87" s="81"/>
      <c r="CJ87" s="81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3"/>
      <c r="CY87" s="80"/>
      <c r="CZ87" s="81"/>
      <c r="DA87" s="81"/>
      <c r="DB87" s="81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/>
      <c r="DQ87" s="80"/>
      <c r="DR87" s="81"/>
      <c r="DS87" s="81"/>
      <c r="DT87" s="81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3"/>
      <c r="EI87" s="80"/>
      <c r="EJ87" s="81"/>
      <c r="EK87" s="81"/>
      <c r="EL87" s="81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3"/>
    </row>
    <row r="88" spans="1:156">
      <c r="A88" s="11"/>
      <c r="B88" s="71" t="s">
        <v>157</v>
      </c>
      <c r="C88" s="92" t="s">
        <v>158</v>
      </c>
      <c r="D88" s="93"/>
      <c r="E88" s="93"/>
      <c r="F88" s="94"/>
      <c r="G88" s="75">
        <f t="shared" si="43"/>
        <v>1230</v>
      </c>
      <c r="H88" s="117">
        <f t="shared" si="44"/>
        <v>0</v>
      </c>
      <c r="I88" s="118">
        <f t="shared" si="44"/>
        <v>0</v>
      </c>
      <c r="J88" s="118">
        <f t="shared" si="44"/>
        <v>0</v>
      </c>
      <c r="K88" s="118">
        <f t="shared" si="44"/>
        <v>0</v>
      </c>
      <c r="L88" s="79">
        <f t="shared" si="44"/>
        <v>0</v>
      </c>
      <c r="M88" s="78">
        <f t="shared" si="44"/>
        <v>0</v>
      </c>
      <c r="N88" s="78">
        <f t="shared" si="44"/>
        <v>0</v>
      </c>
      <c r="O88" s="78">
        <f t="shared" si="44"/>
        <v>0</v>
      </c>
      <c r="P88" s="78">
        <f t="shared" si="44"/>
        <v>0</v>
      </c>
      <c r="Q88" s="78">
        <f t="shared" si="44"/>
        <v>0</v>
      </c>
      <c r="R88" s="78">
        <f t="shared" si="44"/>
        <v>0</v>
      </c>
      <c r="S88" s="78">
        <f t="shared" si="44"/>
        <v>1230</v>
      </c>
      <c r="T88" s="78">
        <f t="shared" si="44"/>
        <v>0</v>
      </c>
      <c r="U88" s="78">
        <f t="shared" si="44"/>
        <v>0</v>
      </c>
      <c r="V88" s="78">
        <f t="shared" si="44"/>
        <v>0</v>
      </c>
      <c r="W88" s="78">
        <f t="shared" si="44"/>
        <v>0</v>
      </c>
      <c r="X88" s="78">
        <f t="shared" si="45"/>
        <v>0</v>
      </c>
      <c r="Y88" s="78">
        <f t="shared" si="45"/>
        <v>0</v>
      </c>
      <c r="Z88" s="79">
        <f>SIS064_F_Medziaguzaliav5Elektrosenergi5</f>
        <v>0</v>
      </c>
      <c r="AA88" s="79">
        <f>SUM(SIS062_F_Medziaguzaliav5Geriamojovande1,SIS063_F_Medziaguzaliav5Geriamojovande1,SIS065_F_Medziaguzaliav5Geriamojovande1)</f>
        <v>0</v>
      </c>
      <c r="AB88" s="79">
        <f>SUM(SIS062_F_Medziaguzaliav5Paslaugaproduk8,SIS063_F_Medziaguzaliav5Paslaugaproduk8,SIS065_F_Medziaguzaliav5Paslaugaproduk8)</f>
        <v>0</v>
      </c>
      <c r="AC88" s="79">
        <f>SIS064_F_Medziaguzaliav5Elektrosenergi6</f>
        <v>0</v>
      </c>
      <c r="AD88" s="79">
        <f>SUM(SIS062_F_Medziaguzaliav5Paslaugaproduk9,SIS063_F_Medziaguzaliav5Paslaugaproduk9,SIS065_F_Medziaguzaliav5Paslaugaproduk9)</f>
        <v>0</v>
      </c>
      <c r="AE88" s="80">
        <v>0</v>
      </c>
      <c r="AF88" s="81">
        <v>0</v>
      </c>
      <c r="AG88" s="81">
        <v>0</v>
      </c>
      <c r="AH88" s="81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2">
        <v>0</v>
      </c>
      <c r="AO88" s="82">
        <v>0</v>
      </c>
      <c r="AP88" s="82">
        <v>1230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83">
        <v>0</v>
      </c>
      <c r="AW88" s="80"/>
      <c r="AX88" s="81"/>
      <c r="AY88" s="81"/>
      <c r="AZ88" s="81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3"/>
      <c r="BO88" s="80"/>
      <c r="BP88" s="81"/>
      <c r="BQ88" s="81"/>
      <c r="BR88" s="81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3"/>
      <c r="CG88" s="80"/>
      <c r="CH88" s="81"/>
      <c r="CI88" s="81"/>
      <c r="CJ88" s="81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3"/>
      <c r="CY88" s="80"/>
      <c r="CZ88" s="81"/>
      <c r="DA88" s="81"/>
      <c r="DB88" s="81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3"/>
      <c r="DQ88" s="80"/>
      <c r="DR88" s="81"/>
      <c r="DS88" s="81"/>
      <c r="DT88" s="81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3"/>
      <c r="EI88" s="80"/>
      <c r="EJ88" s="81"/>
      <c r="EK88" s="81"/>
      <c r="EL88" s="81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3"/>
    </row>
    <row r="89" spans="1:156">
      <c r="A89" s="11"/>
      <c r="B89" s="71" t="s">
        <v>159</v>
      </c>
      <c r="C89" s="92" t="s">
        <v>160</v>
      </c>
      <c r="D89" s="93"/>
      <c r="E89" s="93"/>
      <c r="F89" s="94"/>
      <c r="G89" s="75">
        <f t="shared" si="43"/>
        <v>0</v>
      </c>
      <c r="H89" s="117">
        <f t="shared" si="44"/>
        <v>0</v>
      </c>
      <c r="I89" s="118">
        <f t="shared" si="44"/>
        <v>0</v>
      </c>
      <c r="J89" s="118">
        <f t="shared" si="44"/>
        <v>0</v>
      </c>
      <c r="K89" s="118">
        <f t="shared" si="44"/>
        <v>0</v>
      </c>
      <c r="L89" s="79">
        <f t="shared" si="44"/>
        <v>0</v>
      </c>
      <c r="M89" s="78">
        <f t="shared" si="44"/>
        <v>0</v>
      </c>
      <c r="N89" s="78">
        <f t="shared" si="44"/>
        <v>0</v>
      </c>
      <c r="O89" s="78">
        <f t="shared" si="44"/>
        <v>0</v>
      </c>
      <c r="P89" s="78">
        <f t="shared" si="44"/>
        <v>0</v>
      </c>
      <c r="Q89" s="78">
        <f t="shared" si="44"/>
        <v>0</v>
      </c>
      <c r="R89" s="78">
        <f t="shared" si="44"/>
        <v>0</v>
      </c>
      <c r="S89" s="78">
        <f t="shared" si="44"/>
        <v>0</v>
      </c>
      <c r="T89" s="78">
        <f t="shared" si="44"/>
        <v>0</v>
      </c>
      <c r="U89" s="78">
        <f t="shared" si="44"/>
        <v>0</v>
      </c>
      <c r="V89" s="78">
        <f t="shared" si="44"/>
        <v>0</v>
      </c>
      <c r="W89" s="78">
        <f t="shared" si="44"/>
        <v>0</v>
      </c>
      <c r="X89" s="78">
        <f t="shared" si="45"/>
        <v>0</v>
      </c>
      <c r="Y89" s="78">
        <f t="shared" si="45"/>
        <v>0</v>
      </c>
      <c r="Z89" s="79">
        <f>SIS064_F_Atsiskaitomuju1Elektrosenergi5</f>
        <v>0</v>
      </c>
      <c r="AA89" s="79">
        <f>SUM(SIS062_F_Atsiskaitomuju1Geriamojovande1,SIS063_F_Atsiskaitomuju1Geriamojovande1,SIS065_F_Atsiskaitomuju1Geriamojovande1)</f>
        <v>0</v>
      </c>
      <c r="AB89" s="79">
        <f>SUM(SIS062_F_Atsiskaitomuju1Paslaugaproduk8,SIS063_F_Atsiskaitomuju1Paslaugaproduk8,SIS065_F_Atsiskaitomuju1Paslaugaproduk8)</f>
        <v>0</v>
      </c>
      <c r="AC89" s="79">
        <f>SIS064_F_Atsiskaitomuju1Elektrosenergi6</f>
        <v>0</v>
      </c>
      <c r="AD89" s="79">
        <f>SUM(SIS062_F_Atsiskaitomuju1Paslaugaproduk9,SIS063_F_Atsiskaitomuju1Paslaugaproduk9,SIS065_F_Atsiskaitomuju1Paslaugaproduk9)</f>
        <v>0</v>
      </c>
      <c r="AE89" s="80">
        <v>0</v>
      </c>
      <c r="AF89" s="81">
        <v>0</v>
      </c>
      <c r="AG89" s="81">
        <v>0</v>
      </c>
      <c r="AH89" s="81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2">
        <v>0</v>
      </c>
      <c r="AU89" s="82">
        <v>0</v>
      </c>
      <c r="AV89" s="83">
        <v>0</v>
      </c>
      <c r="AW89" s="80"/>
      <c r="AX89" s="81"/>
      <c r="AY89" s="81"/>
      <c r="AZ89" s="81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3"/>
      <c r="BO89" s="80"/>
      <c r="BP89" s="81"/>
      <c r="BQ89" s="81"/>
      <c r="BR89" s="81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3"/>
      <c r="CG89" s="80"/>
      <c r="CH89" s="81"/>
      <c r="CI89" s="81"/>
      <c r="CJ89" s="81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3"/>
      <c r="CY89" s="80"/>
      <c r="CZ89" s="81"/>
      <c r="DA89" s="81"/>
      <c r="DB89" s="81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3"/>
      <c r="DQ89" s="80"/>
      <c r="DR89" s="81"/>
      <c r="DS89" s="81"/>
      <c r="DT89" s="81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3"/>
      <c r="EI89" s="80"/>
      <c r="EJ89" s="81"/>
      <c r="EK89" s="81"/>
      <c r="EL89" s="81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3"/>
    </row>
    <row r="90" spans="1:156">
      <c r="A90" s="11"/>
      <c r="B90" s="103" t="s">
        <v>161</v>
      </c>
      <c r="C90" s="108" t="s">
        <v>162</v>
      </c>
      <c r="D90" s="104"/>
      <c r="E90" s="104"/>
      <c r="F90" s="116"/>
      <c r="G90" s="75">
        <f t="shared" si="43"/>
        <v>15669</v>
      </c>
      <c r="H90" s="117">
        <f t="shared" si="44"/>
        <v>0</v>
      </c>
      <c r="I90" s="118">
        <f t="shared" si="44"/>
        <v>0</v>
      </c>
      <c r="J90" s="118">
        <f t="shared" si="44"/>
        <v>0</v>
      </c>
      <c r="K90" s="118">
        <f t="shared" si="44"/>
        <v>0</v>
      </c>
      <c r="L90" s="79">
        <f t="shared" si="44"/>
        <v>0</v>
      </c>
      <c r="M90" s="78">
        <f t="shared" si="44"/>
        <v>0</v>
      </c>
      <c r="N90" s="78">
        <f t="shared" si="44"/>
        <v>0</v>
      </c>
      <c r="O90" s="78">
        <f t="shared" si="44"/>
        <v>0</v>
      </c>
      <c r="P90" s="78">
        <f t="shared" si="44"/>
        <v>0</v>
      </c>
      <c r="Q90" s="78">
        <f t="shared" si="44"/>
        <v>15669</v>
      </c>
      <c r="R90" s="78">
        <f t="shared" si="44"/>
        <v>0</v>
      </c>
      <c r="S90" s="78">
        <f t="shared" si="44"/>
        <v>0</v>
      </c>
      <c r="T90" s="78">
        <f t="shared" si="44"/>
        <v>0</v>
      </c>
      <c r="U90" s="78">
        <f t="shared" si="44"/>
        <v>0</v>
      </c>
      <c r="V90" s="78">
        <f t="shared" si="44"/>
        <v>0</v>
      </c>
      <c r="W90" s="78">
        <f t="shared" si="44"/>
        <v>0</v>
      </c>
      <c r="X90" s="78">
        <f t="shared" si="45"/>
        <v>0</v>
      </c>
      <c r="Y90" s="78">
        <f t="shared" si="45"/>
        <v>0</v>
      </c>
      <c r="Z90" s="79">
        <f>SIS064_F_Nuotolinesduom1Elektrosenergi5</f>
        <v>0</v>
      </c>
      <c r="AA90" s="79">
        <f>SUM(SIS062_F_Nuotolinesduom1Geriamojovande1,SIS063_F_Nuotolinesduom1Geriamojovande1,SIS065_F_Nuotolinesduom1Geriamojovande1)</f>
        <v>0</v>
      </c>
      <c r="AB90" s="79">
        <f>SUM(SIS062_F_Nuotolinesduom1Paslaugaproduk8,SIS063_F_Nuotolinesduom1Paslaugaproduk8,SIS065_F_Nuotolinesduom1Paslaugaproduk8)</f>
        <v>0</v>
      </c>
      <c r="AC90" s="79">
        <f>SIS064_F_Nuotolinesduom1Elektrosenergi6</f>
        <v>0</v>
      </c>
      <c r="AD90" s="79">
        <f>SUM(SIS062_F_Nuotolinesduom1Paslaugaproduk9,SIS063_F_Nuotolinesduom1Paslaugaproduk9,SIS065_F_Nuotolinesduom1Paslaugaproduk9)</f>
        <v>0</v>
      </c>
      <c r="AE90" s="80">
        <v>0</v>
      </c>
      <c r="AF90" s="81">
        <v>0</v>
      </c>
      <c r="AG90" s="81">
        <v>0</v>
      </c>
      <c r="AH90" s="81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15669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3">
        <v>0</v>
      </c>
      <c r="AW90" s="80"/>
      <c r="AX90" s="81"/>
      <c r="AY90" s="81"/>
      <c r="AZ90" s="81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3"/>
      <c r="BO90" s="80"/>
      <c r="BP90" s="81"/>
      <c r="BQ90" s="81"/>
      <c r="BR90" s="81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3"/>
      <c r="CG90" s="80"/>
      <c r="CH90" s="81"/>
      <c r="CI90" s="81"/>
      <c r="CJ90" s="81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3"/>
      <c r="CY90" s="80"/>
      <c r="CZ90" s="81"/>
      <c r="DA90" s="81"/>
      <c r="DB90" s="81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3"/>
      <c r="DQ90" s="80"/>
      <c r="DR90" s="81"/>
      <c r="DS90" s="81"/>
      <c r="DT90" s="81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3"/>
      <c r="EI90" s="80"/>
      <c r="EJ90" s="81"/>
      <c r="EK90" s="81"/>
      <c r="EL90" s="81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3"/>
    </row>
    <row r="91" spans="1:156">
      <c r="A91" s="11"/>
      <c r="B91" s="103" t="s">
        <v>163</v>
      </c>
      <c r="C91" s="108" t="s">
        <v>164</v>
      </c>
      <c r="D91" s="104"/>
      <c r="E91" s="104"/>
      <c r="F91" s="116"/>
      <c r="G91" s="75">
        <f t="shared" si="43"/>
        <v>0</v>
      </c>
      <c r="H91" s="117">
        <f t="shared" si="44"/>
        <v>0</v>
      </c>
      <c r="I91" s="118">
        <f t="shared" si="44"/>
        <v>0</v>
      </c>
      <c r="J91" s="118">
        <f t="shared" si="44"/>
        <v>0</v>
      </c>
      <c r="K91" s="118">
        <f t="shared" si="44"/>
        <v>0</v>
      </c>
      <c r="L91" s="79">
        <f t="shared" si="44"/>
        <v>0</v>
      </c>
      <c r="M91" s="78">
        <f t="shared" si="44"/>
        <v>0</v>
      </c>
      <c r="N91" s="78">
        <f t="shared" si="44"/>
        <v>0</v>
      </c>
      <c r="O91" s="78">
        <f t="shared" si="44"/>
        <v>0</v>
      </c>
      <c r="P91" s="78">
        <f t="shared" si="44"/>
        <v>0</v>
      </c>
      <c r="Q91" s="78">
        <f t="shared" si="44"/>
        <v>0</v>
      </c>
      <c r="R91" s="78">
        <f t="shared" si="44"/>
        <v>0</v>
      </c>
      <c r="S91" s="78">
        <f t="shared" si="44"/>
        <v>0</v>
      </c>
      <c r="T91" s="78">
        <f t="shared" si="44"/>
        <v>0</v>
      </c>
      <c r="U91" s="78">
        <f t="shared" si="44"/>
        <v>0</v>
      </c>
      <c r="V91" s="78">
        <f t="shared" si="44"/>
        <v>0</v>
      </c>
      <c r="W91" s="78">
        <f t="shared" si="44"/>
        <v>0</v>
      </c>
      <c r="X91" s="78">
        <f t="shared" si="45"/>
        <v>0</v>
      </c>
      <c r="Y91" s="78">
        <f t="shared" si="45"/>
        <v>0</v>
      </c>
      <c r="Z91" s="79">
        <f>SIS064_F_Patalpuneadmin1Elektrosenergi5</f>
        <v>0</v>
      </c>
      <c r="AA91" s="79">
        <f>SUM(SIS062_F_Patalpuneadmin1Geriamojovande1,SIS063_F_Patalpuneadmin1Geriamojovande1,SIS065_F_Patalpuneadmin1Geriamojovande1)</f>
        <v>0</v>
      </c>
      <c r="AB91" s="79">
        <f>SUM(SIS062_F_Patalpuneadmin1Paslaugaproduk8,SIS063_F_Patalpuneadmin1Paslaugaproduk8,SIS065_F_Patalpuneadmin1Paslaugaproduk8)</f>
        <v>0</v>
      </c>
      <c r="AC91" s="79">
        <f>SIS064_F_Patalpuneadmin1Elektrosenergi6</f>
        <v>0</v>
      </c>
      <c r="AD91" s="79">
        <f>SUM(SIS062_F_Patalpuneadmin1Paslaugaproduk9,SIS063_F_Patalpuneadmin1Paslaugaproduk9,SIS065_F_Patalpuneadmin1Paslaugaproduk9)</f>
        <v>0</v>
      </c>
      <c r="AE91" s="80">
        <v>0</v>
      </c>
      <c r="AF91" s="81">
        <v>0</v>
      </c>
      <c r="AG91" s="81">
        <v>0</v>
      </c>
      <c r="AH91" s="81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83">
        <v>0</v>
      </c>
      <c r="AW91" s="80"/>
      <c r="AX91" s="81"/>
      <c r="AY91" s="81"/>
      <c r="AZ91" s="81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3"/>
      <c r="BO91" s="80"/>
      <c r="BP91" s="81"/>
      <c r="BQ91" s="81"/>
      <c r="BR91" s="81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3"/>
      <c r="CG91" s="80"/>
      <c r="CH91" s="81"/>
      <c r="CI91" s="81"/>
      <c r="CJ91" s="81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3"/>
      <c r="CY91" s="80"/>
      <c r="CZ91" s="81"/>
      <c r="DA91" s="81"/>
      <c r="DB91" s="81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3"/>
      <c r="DQ91" s="80"/>
      <c r="DR91" s="81"/>
      <c r="DS91" s="81"/>
      <c r="DT91" s="81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3"/>
      <c r="EI91" s="80"/>
      <c r="EJ91" s="81"/>
      <c r="EK91" s="81"/>
      <c r="EL91" s="81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3"/>
    </row>
    <row r="92" spans="1:156">
      <c r="A92" s="11"/>
      <c r="B92" s="103" t="s">
        <v>109</v>
      </c>
      <c r="C92" s="108" t="s">
        <v>165</v>
      </c>
      <c r="D92" s="104"/>
      <c r="E92" s="104"/>
      <c r="F92" s="116"/>
      <c r="G92" s="75">
        <f t="shared" si="43"/>
        <v>0</v>
      </c>
      <c r="H92" s="117">
        <f t="shared" si="44"/>
        <v>0</v>
      </c>
      <c r="I92" s="118">
        <f t="shared" si="44"/>
        <v>0</v>
      </c>
      <c r="J92" s="118">
        <f t="shared" si="44"/>
        <v>0</v>
      </c>
      <c r="K92" s="118">
        <f t="shared" si="44"/>
        <v>0</v>
      </c>
      <c r="L92" s="79">
        <f t="shared" si="44"/>
        <v>0</v>
      </c>
      <c r="M92" s="78">
        <f t="shared" si="44"/>
        <v>0</v>
      </c>
      <c r="N92" s="78">
        <f t="shared" si="44"/>
        <v>0</v>
      </c>
      <c r="O92" s="78">
        <f t="shared" si="44"/>
        <v>0</v>
      </c>
      <c r="P92" s="78">
        <f t="shared" si="44"/>
        <v>0</v>
      </c>
      <c r="Q92" s="78">
        <f t="shared" si="44"/>
        <v>0</v>
      </c>
      <c r="R92" s="78">
        <f t="shared" si="44"/>
        <v>0</v>
      </c>
      <c r="S92" s="78">
        <f t="shared" si="44"/>
        <v>0</v>
      </c>
      <c r="T92" s="78">
        <f t="shared" si="44"/>
        <v>0</v>
      </c>
      <c r="U92" s="78">
        <f t="shared" si="44"/>
        <v>0</v>
      </c>
      <c r="V92" s="78">
        <f t="shared" si="44"/>
        <v>0</v>
      </c>
      <c r="W92" s="78">
        <f t="shared" si="44"/>
        <v>0</v>
      </c>
      <c r="X92" s="78">
        <f t="shared" si="45"/>
        <v>0</v>
      </c>
      <c r="Y92" s="78">
        <f t="shared" si="45"/>
        <v>0</v>
      </c>
      <c r="Z92" s="79">
        <f>SIS064_F_Rezerviniokuro1Elektrosenergi5</f>
        <v>0</v>
      </c>
      <c r="AA92" s="79">
        <f>SUM(SIS062_F_Rezerviniokuro1Geriamojovande1,SIS063_F_Rezerviniokuro1Geriamojovande1,SIS065_F_Rezerviniokuro1Geriamojovande1)</f>
        <v>0</v>
      </c>
      <c r="AB92" s="79">
        <f>SUM(SIS062_F_Rezerviniokuro1Paslaugaproduk8,SIS063_F_Rezerviniokuro1Paslaugaproduk8,SIS065_F_Rezerviniokuro1Paslaugaproduk8)</f>
        <v>0</v>
      </c>
      <c r="AC92" s="79">
        <f>SIS064_F_Rezerviniokuro1Elektrosenergi6</f>
        <v>0</v>
      </c>
      <c r="AD92" s="79">
        <f>SUM(SIS062_F_Rezerviniokuro1Paslaugaproduk9,SIS063_F_Rezerviniokuro1Paslaugaproduk9,SIS065_F_Rezerviniokuro1Paslaugaproduk9)</f>
        <v>0</v>
      </c>
      <c r="AE92" s="80">
        <v>0</v>
      </c>
      <c r="AF92" s="81">
        <v>0</v>
      </c>
      <c r="AG92" s="81">
        <v>0</v>
      </c>
      <c r="AH92" s="81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83">
        <v>0</v>
      </c>
      <c r="AW92" s="80"/>
      <c r="AX92" s="81"/>
      <c r="AY92" s="81"/>
      <c r="AZ92" s="81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3"/>
      <c r="BO92" s="80"/>
      <c r="BP92" s="81"/>
      <c r="BQ92" s="81"/>
      <c r="BR92" s="81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3"/>
      <c r="CG92" s="80"/>
      <c r="CH92" s="81"/>
      <c r="CI92" s="81"/>
      <c r="CJ92" s="81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3"/>
      <c r="CY92" s="80"/>
      <c r="CZ92" s="81"/>
      <c r="DA92" s="81"/>
      <c r="DB92" s="81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3"/>
      <c r="DQ92" s="80"/>
      <c r="DR92" s="81"/>
      <c r="DS92" s="81"/>
      <c r="DT92" s="81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3"/>
      <c r="EI92" s="80"/>
      <c r="EJ92" s="81"/>
      <c r="EK92" s="81"/>
      <c r="EL92" s="81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3"/>
    </row>
    <row r="93" spans="1:156">
      <c r="A93" s="11"/>
      <c r="B93" s="103" t="s">
        <v>166</v>
      </c>
      <c r="C93" s="108" t="s">
        <v>167</v>
      </c>
      <c r="D93" s="104"/>
      <c r="E93" s="104"/>
      <c r="F93" s="116"/>
      <c r="G93" s="75">
        <f t="shared" si="43"/>
        <v>10082.52</v>
      </c>
      <c r="H93" s="117">
        <f t="shared" si="44"/>
        <v>10082.52</v>
      </c>
      <c r="I93" s="118">
        <f t="shared" si="44"/>
        <v>0</v>
      </c>
      <c r="J93" s="118">
        <f t="shared" si="44"/>
        <v>0</v>
      </c>
      <c r="K93" s="118">
        <f t="shared" si="44"/>
        <v>0</v>
      </c>
      <c r="L93" s="79">
        <f t="shared" si="44"/>
        <v>0</v>
      </c>
      <c r="M93" s="78">
        <f t="shared" si="44"/>
        <v>0</v>
      </c>
      <c r="N93" s="78">
        <f t="shared" si="44"/>
        <v>0</v>
      </c>
      <c r="O93" s="78">
        <f t="shared" si="44"/>
        <v>0</v>
      </c>
      <c r="P93" s="78">
        <f t="shared" si="44"/>
        <v>0</v>
      </c>
      <c r="Q93" s="78">
        <f t="shared" si="44"/>
        <v>0</v>
      </c>
      <c r="R93" s="78">
        <f t="shared" si="44"/>
        <v>0</v>
      </c>
      <c r="S93" s="78">
        <f t="shared" si="44"/>
        <v>0</v>
      </c>
      <c r="T93" s="78">
        <f t="shared" si="44"/>
        <v>0</v>
      </c>
      <c r="U93" s="78">
        <f t="shared" si="44"/>
        <v>0</v>
      </c>
      <c r="V93" s="78">
        <f t="shared" si="44"/>
        <v>0</v>
      </c>
      <c r="W93" s="78">
        <f t="shared" si="44"/>
        <v>0</v>
      </c>
      <c r="X93" s="78">
        <f t="shared" si="45"/>
        <v>0</v>
      </c>
      <c r="Y93" s="78">
        <f t="shared" si="45"/>
        <v>0</v>
      </c>
      <c r="Z93" s="79">
        <f>SIS064_F_Mazavercioinve1Elektrosenergi5</f>
        <v>0</v>
      </c>
      <c r="AA93" s="79">
        <f>SUM(SIS062_F_Mazavercioinve1Geriamojovande1,SIS063_F_Mazavercioinve1Geriamojovande1,SIS065_F_Mazavercioinve1Geriamojovande1)</f>
        <v>0</v>
      </c>
      <c r="AB93" s="79">
        <f>SUM(SIS062_F_Mazavercioinve1Paslaugaproduk8,SIS063_F_Mazavercioinve1Paslaugaproduk8,SIS065_F_Mazavercioinve1Paslaugaproduk8)</f>
        <v>0</v>
      </c>
      <c r="AC93" s="79">
        <f>SIS064_F_Mazavercioinve1Elektrosenergi6</f>
        <v>0</v>
      </c>
      <c r="AD93" s="79">
        <f>SUM(SIS062_F_Mazavercioinve1Paslaugaproduk9,SIS063_F_Mazavercioinve1Paslaugaproduk9,SIS065_F_Mazavercioinve1Paslaugaproduk9)</f>
        <v>0</v>
      </c>
      <c r="AE93" s="80">
        <v>10082.52</v>
      </c>
      <c r="AF93" s="81">
        <v>0</v>
      </c>
      <c r="AG93" s="81">
        <v>0</v>
      </c>
      <c r="AH93" s="81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83">
        <v>0</v>
      </c>
      <c r="AW93" s="80"/>
      <c r="AX93" s="81"/>
      <c r="AY93" s="81"/>
      <c r="AZ93" s="81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3"/>
      <c r="BO93" s="80"/>
      <c r="BP93" s="81"/>
      <c r="BQ93" s="81"/>
      <c r="BR93" s="81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3"/>
      <c r="CG93" s="80"/>
      <c r="CH93" s="81"/>
      <c r="CI93" s="81"/>
      <c r="CJ93" s="81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3"/>
      <c r="CY93" s="80"/>
      <c r="CZ93" s="81"/>
      <c r="DA93" s="81"/>
      <c r="DB93" s="81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3"/>
      <c r="DQ93" s="80"/>
      <c r="DR93" s="81"/>
      <c r="DS93" s="81"/>
      <c r="DT93" s="81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3"/>
      <c r="EI93" s="80"/>
      <c r="EJ93" s="81"/>
      <c r="EK93" s="81"/>
      <c r="EL93" s="81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3"/>
    </row>
    <row r="94" spans="1:156">
      <c r="A94" s="11"/>
      <c r="B94" s="103" t="s">
        <v>168</v>
      </c>
      <c r="C94" s="108" t="s">
        <v>169</v>
      </c>
      <c r="D94" s="104"/>
      <c r="E94" s="104"/>
      <c r="F94" s="116"/>
      <c r="G94" s="75">
        <f t="shared" si="43"/>
        <v>0</v>
      </c>
      <c r="H94" s="117">
        <f t="shared" si="44"/>
        <v>0</v>
      </c>
      <c r="I94" s="118">
        <f t="shared" si="44"/>
        <v>0</v>
      </c>
      <c r="J94" s="118">
        <f t="shared" si="44"/>
        <v>0</v>
      </c>
      <c r="K94" s="118">
        <f t="shared" si="44"/>
        <v>0</v>
      </c>
      <c r="L94" s="79">
        <f t="shared" si="44"/>
        <v>0</v>
      </c>
      <c r="M94" s="78">
        <f t="shared" si="44"/>
        <v>0</v>
      </c>
      <c r="N94" s="78">
        <f t="shared" si="44"/>
        <v>0</v>
      </c>
      <c r="O94" s="78">
        <f t="shared" si="44"/>
        <v>0</v>
      </c>
      <c r="P94" s="78">
        <f t="shared" si="44"/>
        <v>0</v>
      </c>
      <c r="Q94" s="78">
        <f t="shared" si="44"/>
        <v>0</v>
      </c>
      <c r="R94" s="78">
        <f t="shared" si="44"/>
        <v>0</v>
      </c>
      <c r="S94" s="78">
        <f t="shared" si="44"/>
        <v>0</v>
      </c>
      <c r="T94" s="78">
        <f t="shared" si="44"/>
        <v>0</v>
      </c>
      <c r="U94" s="78">
        <f t="shared" si="44"/>
        <v>0</v>
      </c>
      <c r="V94" s="78">
        <f t="shared" si="44"/>
        <v>0</v>
      </c>
      <c r="W94" s="78">
        <f t="shared" ref="W94:W104" si="46">SUM(AT94,BL94,CD94,CV94,DN94,EF94,EX94)</f>
        <v>0</v>
      </c>
      <c r="X94" s="78">
        <f t="shared" si="45"/>
        <v>0</v>
      </c>
      <c r="Y94" s="78">
        <f t="shared" si="45"/>
        <v>0</v>
      </c>
      <c r="Z94" s="79">
        <f>SIS064_F_Turtonuomosnes1Elektrosenergi5</f>
        <v>0</v>
      </c>
      <c r="AA94" s="79">
        <f>SUM(SIS062_F_Turtonuomosnes1Geriamojovande1,SIS063_F_Turtonuomosnes1Geriamojovande1,SIS065_F_Turtonuomosnes1Geriamojovande1)</f>
        <v>0</v>
      </c>
      <c r="AB94" s="79">
        <f>SUM(SIS062_F_Turtonuomosnes1Paslaugaproduk8,SIS063_F_Turtonuomosnes1Paslaugaproduk8,SIS065_F_Turtonuomosnes1Paslaugaproduk8)</f>
        <v>0</v>
      </c>
      <c r="AC94" s="79">
        <f>SIS064_F_Turtonuomosnes1Elektrosenergi6</f>
        <v>0</v>
      </c>
      <c r="AD94" s="79">
        <f>SUM(SIS062_F_Turtonuomosnes1Paslaugaproduk9,SIS063_F_Turtonuomosnes1Paslaugaproduk9,SIS065_F_Turtonuomosnes1Paslaugaproduk9)</f>
        <v>0</v>
      </c>
      <c r="AE94" s="80">
        <v>0</v>
      </c>
      <c r="AF94" s="81">
        <v>0</v>
      </c>
      <c r="AG94" s="81">
        <v>0</v>
      </c>
      <c r="AH94" s="81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83">
        <v>0</v>
      </c>
      <c r="AW94" s="80"/>
      <c r="AX94" s="81"/>
      <c r="AY94" s="81"/>
      <c r="AZ94" s="81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3"/>
      <c r="BO94" s="80"/>
      <c r="BP94" s="81"/>
      <c r="BQ94" s="81"/>
      <c r="BR94" s="81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3"/>
      <c r="CG94" s="80"/>
      <c r="CH94" s="81"/>
      <c r="CI94" s="81"/>
      <c r="CJ94" s="81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3"/>
      <c r="CY94" s="80"/>
      <c r="CZ94" s="81"/>
      <c r="DA94" s="81"/>
      <c r="DB94" s="81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3"/>
      <c r="DQ94" s="80"/>
      <c r="DR94" s="81"/>
      <c r="DS94" s="81"/>
      <c r="DT94" s="81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3"/>
      <c r="EI94" s="80"/>
      <c r="EJ94" s="81"/>
      <c r="EK94" s="81"/>
      <c r="EL94" s="81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3"/>
    </row>
    <row r="95" spans="1:156">
      <c r="A95" s="11"/>
      <c r="B95" s="103" t="s">
        <v>170</v>
      </c>
      <c r="C95" s="108" t="s">
        <v>171</v>
      </c>
      <c r="D95" s="104"/>
      <c r="E95" s="104"/>
      <c r="F95" s="116"/>
      <c r="G95" s="75">
        <f t="shared" si="43"/>
        <v>1539.38</v>
      </c>
      <c r="H95" s="117">
        <f t="shared" ref="H95:V104" si="47">SUM(AE95,AW95,BO95,CG95,CY95,DQ95,EI95)</f>
        <v>1539.38</v>
      </c>
      <c r="I95" s="118">
        <f t="shared" si="47"/>
        <v>0</v>
      </c>
      <c r="J95" s="118">
        <f t="shared" si="47"/>
        <v>0</v>
      </c>
      <c r="K95" s="118">
        <f t="shared" si="47"/>
        <v>0</v>
      </c>
      <c r="L95" s="79">
        <f t="shared" si="47"/>
        <v>0</v>
      </c>
      <c r="M95" s="78">
        <f t="shared" si="47"/>
        <v>0</v>
      </c>
      <c r="N95" s="78">
        <f t="shared" si="47"/>
        <v>0</v>
      </c>
      <c r="O95" s="78">
        <f t="shared" si="47"/>
        <v>0</v>
      </c>
      <c r="P95" s="78">
        <f t="shared" si="47"/>
        <v>0</v>
      </c>
      <c r="Q95" s="78">
        <f t="shared" si="47"/>
        <v>0</v>
      </c>
      <c r="R95" s="78">
        <f t="shared" si="47"/>
        <v>0</v>
      </c>
      <c r="S95" s="78">
        <f t="shared" si="47"/>
        <v>0</v>
      </c>
      <c r="T95" s="78">
        <f t="shared" si="47"/>
        <v>0</v>
      </c>
      <c r="U95" s="78">
        <f t="shared" si="47"/>
        <v>0</v>
      </c>
      <c r="V95" s="78">
        <f t="shared" si="47"/>
        <v>0</v>
      </c>
      <c r="W95" s="78">
        <f t="shared" si="46"/>
        <v>0</v>
      </c>
      <c r="X95" s="78">
        <f t="shared" si="45"/>
        <v>0</v>
      </c>
      <c r="Y95" s="78">
        <f t="shared" si="45"/>
        <v>0</v>
      </c>
      <c r="Z95" s="79">
        <f>SIS064_F_Komunaliniupas1Elektrosenergi5</f>
        <v>0</v>
      </c>
      <c r="AA95" s="79">
        <f>SUM(SIS062_F_Komunaliniupas1Geriamojovande1,SIS063_F_Komunaliniupas1Geriamojovande1,SIS065_F_Komunaliniupas1Geriamojovande1)</f>
        <v>0</v>
      </c>
      <c r="AB95" s="79">
        <f>SUM(SIS062_F_Komunaliniupas1Paslaugaproduk8,SIS063_F_Komunaliniupas1Paslaugaproduk8,SIS065_F_Komunaliniupas1Paslaugaproduk8)</f>
        <v>0</v>
      </c>
      <c r="AC95" s="79">
        <f>SIS064_F_Komunaliniupas1Elektrosenergi6</f>
        <v>0</v>
      </c>
      <c r="AD95" s="79">
        <f>SUM(SIS062_F_Komunaliniupas1Paslaugaproduk9,SIS063_F_Komunaliniupas1Paslaugaproduk9,SIS065_F_Komunaliniupas1Paslaugaproduk9)</f>
        <v>0</v>
      </c>
      <c r="AE95" s="80">
        <v>1539.38</v>
      </c>
      <c r="AF95" s="81">
        <v>0</v>
      </c>
      <c r="AG95" s="81">
        <v>0</v>
      </c>
      <c r="AH95" s="81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83">
        <v>0</v>
      </c>
      <c r="AW95" s="80"/>
      <c r="AX95" s="81"/>
      <c r="AY95" s="81"/>
      <c r="AZ95" s="81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3"/>
      <c r="BO95" s="80"/>
      <c r="BP95" s="81"/>
      <c r="BQ95" s="81"/>
      <c r="BR95" s="81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3"/>
      <c r="CG95" s="80"/>
      <c r="CH95" s="81"/>
      <c r="CI95" s="81"/>
      <c r="CJ95" s="81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3"/>
      <c r="CY95" s="80"/>
      <c r="CZ95" s="81"/>
      <c r="DA95" s="81"/>
      <c r="DB95" s="81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3"/>
      <c r="DQ95" s="80"/>
      <c r="DR95" s="81"/>
      <c r="DS95" s="81"/>
      <c r="DT95" s="81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3"/>
      <c r="EI95" s="80"/>
      <c r="EJ95" s="81"/>
      <c r="EK95" s="81"/>
      <c r="EL95" s="81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3"/>
    </row>
    <row r="96" spans="1:156">
      <c r="A96" s="11"/>
      <c r="B96" s="103" t="s">
        <v>172</v>
      </c>
      <c r="C96" s="108" t="s">
        <v>173</v>
      </c>
      <c r="D96" s="104"/>
      <c r="E96" s="104"/>
      <c r="F96" s="116"/>
      <c r="G96" s="75">
        <f t="shared" si="43"/>
        <v>12350.3</v>
      </c>
      <c r="H96" s="117">
        <f t="shared" si="47"/>
        <v>12350.3</v>
      </c>
      <c r="I96" s="118">
        <f t="shared" si="47"/>
        <v>0</v>
      </c>
      <c r="J96" s="118">
        <f t="shared" si="47"/>
        <v>0</v>
      </c>
      <c r="K96" s="118">
        <f t="shared" si="47"/>
        <v>0</v>
      </c>
      <c r="L96" s="79">
        <f t="shared" si="47"/>
        <v>0</v>
      </c>
      <c r="M96" s="78">
        <f t="shared" si="47"/>
        <v>0</v>
      </c>
      <c r="N96" s="78">
        <f t="shared" si="47"/>
        <v>0</v>
      </c>
      <c r="O96" s="78">
        <f t="shared" si="47"/>
        <v>0</v>
      </c>
      <c r="P96" s="78">
        <f t="shared" si="47"/>
        <v>0</v>
      </c>
      <c r="Q96" s="78">
        <f t="shared" si="47"/>
        <v>0</v>
      </c>
      <c r="R96" s="78">
        <f t="shared" si="47"/>
        <v>0</v>
      </c>
      <c r="S96" s="78">
        <f t="shared" si="47"/>
        <v>0</v>
      </c>
      <c r="T96" s="78">
        <f t="shared" si="47"/>
        <v>0</v>
      </c>
      <c r="U96" s="78">
        <f t="shared" si="47"/>
        <v>0</v>
      </c>
      <c r="V96" s="78">
        <f t="shared" si="47"/>
        <v>0</v>
      </c>
      <c r="W96" s="78">
        <f t="shared" si="46"/>
        <v>0</v>
      </c>
      <c r="X96" s="78">
        <f t="shared" si="45"/>
        <v>0</v>
      </c>
      <c r="Y96" s="78">
        <f t="shared" si="45"/>
        <v>0</v>
      </c>
      <c r="Z96" s="79">
        <f>SIS064_F_Transportoprie2Elektrosenergi5</f>
        <v>0</v>
      </c>
      <c r="AA96" s="79">
        <f>SUM(SIS062_F_Transportoprie2Geriamojovande1,SIS063_F_Transportoprie2Geriamojovande1,SIS065_F_Transportoprie2Geriamojovande1)</f>
        <v>0</v>
      </c>
      <c r="AB96" s="79">
        <f>SUM(SIS062_F_Transportoprie2Paslaugaproduk8,SIS063_F_Transportoprie2Paslaugaproduk8,SIS065_F_Transportoprie2Paslaugaproduk8)</f>
        <v>0</v>
      </c>
      <c r="AC96" s="79">
        <f>SIS064_F_Transportoprie2Elektrosenergi6</f>
        <v>0</v>
      </c>
      <c r="AD96" s="79">
        <f>SUM(SIS062_F_Transportoprie2Paslaugaproduk9,SIS063_F_Transportoprie2Paslaugaproduk9,SIS065_F_Transportoprie2Paslaugaproduk9)</f>
        <v>0</v>
      </c>
      <c r="AE96" s="80">
        <v>12350.3</v>
      </c>
      <c r="AF96" s="81">
        <v>0</v>
      </c>
      <c r="AG96" s="81">
        <v>0</v>
      </c>
      <c r="AH96" s="81"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83">
        <v>0</v>
      </c>
      <c r="AW96" s="80"/>
      <c r="AX96" s="81"/>
      <c r="AY96" s="81"/>
      <c r="AZ96" s="81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3"/>
      <c r="BO96" s="80"/>
      <c r="BP96" s="81"/>
      <c r="BQ96" s="81"/>
      <c r="BR96" s="81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3"/>
      <c r="CG96" s="80"/>
      <c r="CH96" s="81"/>
      <c r="CI96" s="81"/>
      <c r="CJ96" s="81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3"/>
      <c r="CY96" s="80"/>
      <c r="CZ96" s="81"/>
      <c r="DA96" s="81"/>
      <c r="DB96" s="81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3"/>
      <c r="DQ96" s="80"/>
      <c r="DR96" s="81"/>
      <c r="DS96" s="81"/>
      <c r="DT96" s="81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3"/>
      <c r="EI96" s="80"/>
      <c r="EJ96" s="81"/>
      <c r="EK96" s="81"/>
      <c r="EL96" s="81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3"/>
    </row>
    <row r="97" spans="1:156">
      <c r="A97" s="11"/>
      <c r="B97" s="103" t="s">
        <v>174</v>
      </c>
      <c r="C97" s="108" t="s">
        <v>175</v>
      </c>
      <c r="D97" s="104"/>
      <c r="E97" s="104"/>
      <c r="F97" s="116"/>
      <c r="G97" s="75">
        <f t="shared" si="43"/>
        <v>30626.340000000004</v>
      </c>
      <c r="H97" s="117">
        <f t="shared" si="47"/>
        <v>21747.042058924857</v>
      </c>
      <c r="I97" s="118">
        <f t="shared" si="47"/>
        <v>0</v>
      </c>
      <c r="J97" s="118">
        <f t="shared" si="47"/>
        <v>7.8640988688417292E-6</v>
      </c>
      <c r="K97" s="118">
        <f t="shared" si="47"/>
        <v>0</v>
      </c>
      <c r="L97" s="79">
        <f t="shared" si="47"/>
        <v>0</v>
      </c>
      <c r="M97" s="78">
        <f t="shared" si="47"/>
        <v>8050.2929079899386</v>
      </c>
      <c r="N97" s="78">
        <f t="shared" si="47"/>
        <v>0</v>
      </c>
      <c r="O97" s="78">
        <f t="shared" si="47"/>
        <v>0</v>
      </c>
      <c r="P97" s="78">
        <f t="shared" si="47"/>
        <v>94.17214459087873</v>
      </c>
      <c r="Q97" s="78">
        <f t="shared" si="47"/>
        <v>48.740910675121022</v>
      </c>
      <c r="R97" s="78">
        <f t="shared" si="47"/>
        <v>0</v>
      </c>
      <c r="S97" s="78">
        <f t="shared" si="47"/>
        <v>441.70716717047293</v>
      </c>
      <c r="T97" s="78">
        <f t="shared" si="47"/>
        <v>0</v>
      </c>
      <c r="U97" s="78">
        <f t="shared" si="47"/>
        <v>0</v>
      </c>
      <c r="V97" s="78">
        <f t="shared" si="47"/>
        <v>0</v>
      </c>
      <c r="W97" s="78">
        <f t="shared" si="46"/>
        <v>0</v>
      </c>
      <c r="X97" s="78">
        <f t="shared" si="45"/>
        <v>0</v>
      </c>
      <c r="Y97" s="78">
        <f t="shared" si="45"/>
        <v>0</v>
      </c>
      <c r="Z97" s="79">
        <f>SIS064_F_Transportoprie3Elektrosenergi5</f>
        <v>0</v>
      </c>
      <c r="AA97" s="79">
        <f>SUM(SIS062_F_Transportoprie3Geriamojovande1,SIS063_F_Transportoprie3Geriamojovande1,SIS065_F_Transportoprie3Geriamojovande1)</f>
        <v>0</v>
      </c>
      <c r="AB97" s="79">
        <f>SUM(SIS062_F_Transportoprie3Paslaugaproduk8,SIS063_F_Transportoprie3Paslaugaproduk8,SIS065_F_Transportoprie3Paslaugaproduk8)</f>
        <v>0</v>
      </c>
      <c r="AC97" s="79">
        <f>SIS064_F_Transportoprie3Elektrosenergi6</f>
        <v>0</v>
      </c>
      <c r="AD97" s="79">
        <f>SUM(SIS062_F_Transportoprie3Paslaugaproduk9,SIS063_F_Transportoprie3Paslaugaproduk9,SIS065_F_Transportoprie3Paslaugaproduk9)</f>
        <v>244.38480278463561</v>
      </c>
      <c r="AE97" s="80">
        <v>21747.042058924857</v>
      </c>
      <c r="AF97" s="81">
        <v>0</v>
      </c>
      <c r="AG97" s="81">
        <v>7.8640988688417292E-6</v>
      </c>
      <c r="AH97" s="81">
        <v>0</v>
      </c>
      <c r="AI97" s="82">
        <v>0</v>
      </c>
      <c r="AJ97" s="82">
        <v>8050.2929079899386</v>
      </c>
      <c r="AK97" s="82">
        <v>0</v>
      </c>
      <c r="AL97" s="82">
        <v>0</v>
      </c>
      <c r="AM97" s="82">
        <v>94.17214459087873</v>
      </c>
      <c r="AN97" s="82">
        <v>48.740910675121022</v>
      </c>
      <c r="AO97" s="82">
        <v>0</v>
      </c>
      <c r="AP97" s="82">
        <v>441.70716717047293</v>
      </c>
      <c r="AQ97" s="82">
        <v>0</v>
      </c>
      <c r="AR97" s="82">
        <v>0</v>
      </c>
      <c r="AS97" s="82">
        <v>0</v>
      </c>
      <c r="AT97" s="82">
        <v>0</v>
      </c>
      <c r="AU97" s="82">
        <v>0</v>
      </c>
      <c r="AV97" s="83">
        <v>0</v>
      </c>
      <c r="AW97" s="80"/>
      <c r="AX97" s="81"/>
      <c r="AY97" s="81"/>
      <c r="AZ97" s="81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3"/>
      <c r="BO97" s="80"/>
      <c r="BP97" s="81"/>
      <c r="BQ97" s="81"/>
      <c r="BR97" s="81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3"/>
      <c r="CG97" s="80"/>
      <c r="CH97" s="81"/>
      <c r="CI97" s="81"/>
      <c r="CJ97" s="81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3"/>
      <c r="CY97" s="80"/>
      <c r="CZ97" s="81"/>
      <c r="DA97" s="81"/>
      <c r="DB97" s="81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3"/>
      <c r="DQ97" s="80"/>
      <c r="DR97" s="81"/>
      <c r="DS97" s="81"/>
      <c r="DT97" s="81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3"/>
      <c r="EI97" s="80"/>
      <c r="EJ97" s="81"/>
      <c r="EK97" s="81"/>
      <c r="EL97" s="81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3"/>
    </row>
    <row r="98" spans="1:156">
      <c r="A98" s="11"/>
      <c r="B98" s="103" t="s">
        <v>176</v>
      </c>
      <c r="C98" s="108" t="s">
        <v>177</v>
      </c>
      <c r="D98" s="104"/>
      <c r="E98" s="104"/>
      <c r="F98" s="116"/>
      <c r="G98" s="75">
        <f t="shared" si="43"/>
        <v>0</v>
      </c>
      <c r="H98" s="117">
        <f t="shared" si="47"/>
        <v>0</v>
      </c>
      <c r="I98" s="118">
        <f t="shared" si="47"/>
        <v>0</v>
      </c>
      <c r="J98" s="118">
        <f t="shared" si="47"/>
        <v>0</v>
      </c>
      <c r="K98" s="118">
        <f t="shared" si="47"/>
        <v>0</v>
      </c>
      <c r="L98" s="79">
        <f t="shared" si="47"/>
        <v>0</v>
      </c>
      <c r="M98" s="78">
        <f t="shared" si="47"/>
        <v>0</v>
      </c>
      <c r="N98" s="78">
        <f t="shared" si="47"/>
        <v>0</v>
      </c>
      <c r="O98" s="78">
        <f t="shared" si="47"/>
        <v>0</v>
      </c>
      <c r="P98" s="78">
        <f t="shared" si="47"/>
        <v>0</v>
      </c>
      <c r="Q98" s="78">
        <f t="shared" si="47"/>
        <v>0</v>
      </c>
      <c r="R98" s="78">
        <f t="shared" si="47"/>
        <v>0</v>
      </c>
      <c r="S98" s="78">
        <f t="shared" si="47"/>
        <v>0</v>
      </c>
      <c r="T98" s="78">
        <f t="shared" si="47"/>
        <v>0</v>
      </c>
      <c r="U98" s="78">
        <f t="shared" si="47"/>
        <v>0</v>
      </c>
      <c r="V98" s="78">
        <f t="shared" si="47"/>
        <v>0</v>
      </c>
      <c r="W98" s="78">
        <f t="shared" si="46"/>
        <v>0</v>
      </c>
      <c r="X98" s="78">
        <f t="shared" si="45"/>
        <v>0</v>
      </c>
      <c r="Y98" s="78">
        <f t="shared" si="45"/>
        <v>0</v>
      </c>
      <c r="Z98" s="79">
        <f>SIS064_F_Muitinesireksp1Elektrosenergi5</f>
        <v>0</v>
      </c>
      <c r="AA98" s="79">
        <f>SUM(SIS062_F_Muitinesireksp1Geriamojovande1,SIS063_F_Muitinesireksp1Geriamojovande1,SIS065_F_Muitinesireksp1Geriamojovande1)</f>
        <v>0</v>
      </c>
      <c r="AB98" s="79">
        <f>SUM(SIS062_F_Muitinesireksp1Paslaugaproduk8,SIS063_F_Muitinesireksp1Paslaugaproduk8,SIS065_F_Muitinesireksp1Paslaugaproduk8)</f>
        <v>0</v>
      </c>
      <c r="AC98" s="79">
        <f>SIS064_F_Muitinesireksp1Elektrosenergi6</f>
        <v>0</v>
      </c>
      <c r="AD98" s="79">
        <f>SUM(SIS062_F_Muitinesireksp1Paslaugaproduk9,SIS063_F_Muitinesireksp1Paslaugaproduk9,SIS065_F_Muitinesireksp1Paslaugaproduk9)</f>
        <v>0</v>
      </c>
      <c r="AE98" s="80">
        <v>0</v>
      </c>
      <c r="AF98" s="81">
        <v>0</v>
      </c>
      <c r="AG98" s="81">
        <v>0</v>
      </c>
      <c r="AH98" s="81">
        <v>0</v>
      </c>
      <c r="AI98" s="82">
        <v>0</v>
      </c>
      <c r="AJ98" s="82">
        <v>0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2">
        <v>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83">
        <v>0</v>
      </c>
      <c r="AW98" s="80"/>
      <c r="AX98" s="81"/>
      <c r="AY98" s="81"/>
      <c r="AZ98" s="81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3"/>
      <c r="BO98" s="80"/>
      <c r="BP98" s="81"/>
      <c r="BQ98" s="81"/>
      <c r="BR98" s="81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3"/>
      <c r="CG98" s="80"/>
      <c r="CH98" s="81"/>
      <c r="CI98" s="81"/>
      <c r="CJ98" s="81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3"/>
      <c r="CY98" s="80"/>
      <c r="CZ98" s="81"/>
      <c r="DA98" s="81"/>
      <c r="DB98" s="81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3"/>
      <c r="DQ98" s="80"/>
      <c r="DR98" s="81"/>
      <c r="DS98" s="81"/>
      <c r="DT98" s="81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3"/>
      <c r="EI98" s="80"/>
      <c r="EJ98" s="81"/>
      <c r="EK98" s="81"/>
      <c r="EL98" s="81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3"/>
    </row>
    <row r="99" spans="1:156">
      <c r="A99" s="11"/>
      <c r="B99" s="119" t="s">
        <v>178</v>
      </c>
      <c r="C99" s="104" t="s">
        <v>179</v>
      </c>
      <c r="D99" s="104"/>
      <c r="E99" s="104"/>
      <c r="F99" s="105"/>
      <c r="G99" s="75">
        <f t="shared" si="43"/>
        <v>14915.81</v>
      </c>
      <c r="H99" s="117">
        <f t="shared" si="47"/>
        <v>4665.68</v>
      </c>
      <c r="I99" s="118">
        <f t="shared" si="47"/>
        <v>0</v>
      </c>
      <c r="J99" s="118">
        <f t="shared" si="47"/>
        <v>0</v>
      </c>
      <c r="K99" s="118">
        <f t="shared" si="47"/>
        <v>0</v>
      </c>
      <c r="L99" s="79">
        <f t="shared" si="47"/>
        <v>0</v>
      </c>
      <c r="M99" s="78">
        <f t="shared" si="47"/>
        <v>10250.129999999999</v>
      </c>
      <c r="N99" s="78">
        <f t="shared" si="47"/>
        <v>0</v>
      </c>
      <c r="O99" s="78">
        <f t="shared" si="47"/>
        <v>0</v>
      </c>
      <c r="P99" s="78">
        <f t="shared" si="47"/>
        <v>0</v>
      </c>
      <c r="Q99" s="78">
        <f t="shared" si="47"/>
        <v>0</v>
      </c>
      <c r="R99" s="78">
        <f t="shared" si="47"/>
        <v>0</v>
      </c>
      <c r="S99" s="78">
        <f t="shared" si="47"/>
        <v>0</v>
      </c>
      <c r="T99" s="78">
        <f t="shared" si="47"/>
        <v>0</v>
      </c>
      <c r="U99" s="78">
        <f t="shared" si="47"/>
        <v>0</v>
      </c>
      <c r="V99" s="78">
        <f t="shared" si="47"/>
        <v>0</v>
      </c>
      <c r="W99" s="78">
        <f t="shared" si="46"/>
        <v>0</v>
      </c>
      <c r="X99" s="78">
        <f t="shared" si="45"/>
        <v>0</v>
      </c>
      <c r="Y99" s="78">
        <f t="shared" si="45"/>
        <v>0</v>
      </c>
      <c r="Z99" s="79">
        <f>SIS064_F_Metrologinespa1Elektrosenergi5</f>
        <v>0</v>
      </c>
      <c r="AA99" s="79">
        <f>SUM(SIS062_F_Metrologinespa1Geriamojovande1,SIS063_F_Metrologinespa1Geriamojovande1,SIS065_F_Metrologinespa1Geriamojovande1)</f>
        <v>0</v>
      </c>
      <c r="AB99" s="79">
        <f>SUM(SIS062_F_Metrologinespa1Paslaugaproduk8,SIS063_F_Metrologinespa1Paslaugaproduk8,SIS065_F_Metrologinespa1Paslaugaproduk8)</f>
        <v>0</v>
      </c>
      <c r="AC99" s="79">
        <f>SIS064_F_Metrologinespa1Elektrosenergi6</f>
        <v>0</v>
      </c>
      <c r="AD99" s="79">
        <f>SUM(SIS062_F_Metrologinespa1Paslaugaproduk9,SIS063_F_Metrologinespa1Paslaugaproduk9,SIS065_F_Metrologinespa1Paslaugaproduk9)</f>
        <v>0</v>
      </c>
      <c r="AE99" s="80">
        <v>4665.68</v>
      </c>
      <c r="AF99" s="81">
        <v>0</v>
      </c>
      <c r="AG99" s="81">
        <v>0</v>
      </c>
      <c r="AH99" s="81">
        <v>0</v>
      </c>
      <c r="AI99" s="82">
        <v>0</v>
      </c>
      <c r="AJ99" s="82">
        <v>10250.129999999999</v>
      </c>
      <c r="AK99" s="82">
        <v>0</v>
      </c>
      <c r="AL99" s="82">
        <v>0</v>
      </c>
      <c r="AM99" s="82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83">
        <v>0</v>
      </c>
      <c r="AW99" s="80"/>
      <c r="AX99" s="81"/>
      <c r="AY99" s="81"/>
      <c r="AZ99" s="81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3"/>
      <c r="BO99" s="80"/>
      <c r="BP99" s="81"/>
      <c r="BQ99" s="81"/>
      <c r="BR99" s="81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3"/>
      <c r="CG99" s="80"/>
      <c r="CH99" s="81"/>
      <c r="CI99" s="81"/>
      <c r="CJ99" s="81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3"/>
      <c r="CY99" s="80"/>
      <c r="CZ99" s="81"/>
      <c r="DA99" s="81"/>
      <c r="DB99" s="81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3"/>
      <c r="DQ99" s="80"/>
      <c r="DR99" s="81"/>
      <c r="DS99" s="81"/>
      <c r="DT99" s="81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3"/>
      <c r="EI99" s="80"/>
      <c r="EJ99" s="81"/>
      <c r="EK99" s="81"/>
      <c r="EL99" s="81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3"/>
    </row>
    <row r="100" spans="1:156">
      <c r="A100" s="11"/>
      <c r="B100" s="119" t="s">
        <v>180</v>
      </c>
      <c r="C100" s="104" t="str">
        <f>SIS055_D_Kitoseinamojor1</f>
        <v>Kitos einamojo remonto ir aptarnavimo sąnaudos (nurodyti)</v>
      </c>
      <c r="D100" s="104"/>
      <c r="E100" s="104"/>
      <c r="F100" s="105"/>
      <c r="G100" s="75">
        <f t="shared" si="43"/>
        <v>132391.88</v>
      </c>
      <c r="H100" s="117">
        <f t="shared" si="47"/>
        <v>54579.439999999995</v>
      </c>
      <c r="I100" s="118">
        <f t="shared" si="47"/>
        <v>0</v>
      </c>
      <c r="J100" s="118">
        <f t="shared" si="47"/>
        <v>0</v>
      </c>
      <c r="K100" s="118">
        <f t="shared" si="47"/>
        <v>0</v>
      </c>
      <c r="L100" s="79">
        <f t="shared" si="47"/>
        <v>0</v>
      </c>
      <c r="M100" s="78">
        <f t="shared" si="47"/>
        <v>10470.330000000002</v>
      </c>
      <c r="N100" s="78">
        <f t="shared" si="47"/>
        <v>0</v>
      </c>
      <c r="O100" s="78">
        <f t="shared" si="47"/>
        <v>0</v>
      </c>
      <c r="P100" s="78">
        <f t="shared" si="47"/>
        <v>0</v>
      </c>
      <c r="Q100" s="78">
        <f t="shared" si="47"/>
        <v>0</v>
      </c>
      <c r="R100" s="78">
        <f t="shared" si="47"/>
        <v>0</v>
      </c>
      <c r="S100" s="78">
        <f t="shared" si="47"/>
        <v>0</v>
      </c>
      <c r="T100" s="78">
        <f t="shared" si="47"/>
        <v>0</v>
      </c>
      <c r="U100" s="78">
        <f t="shared" si="47"/>
        <v>0</v>
      </c>
      <c r="V100" s="78">
        <f t="shared" si="47"/>
        <v>0</v>
      </c>
      <c r="W100" s="78">
        <f t="shared" si="46"/>
        <v>0</v>
      </c>
      <c r="X100" s="78">
        <f t="shared" si="45"/>
        <v>0</v>
      </c>
      <c r="Y100" s="78">
        <f t="shared" si="45"/>
        <v>0</v>
      </c>
      <c r="Z100" s="79">
        <f>SIS064_F_Kitoseinamojor1Elektrosenergi5</f>
        <v>0</v>
      </c>
      <c r="AA100" s="79">
        <f>SUM(SIS062_F_Kitoseinamojor1Geriamojovande1,SIS063_F_Kitoseinamojor1Geriamojovande1,SIS065_F_Kitoseinamojor1Geriamojovande1)</f>
        <v>0</v>
      </c>
      <c r="AB100" s="79">
        <f>SUM(SIS062_F_Kitoseinamojor1Paslaugaproduk8,SIS063_F_Kitoseinamojor1Paslaugaproduk8,SIS065_F_Kitoseinamojor1Paslaugaproduk8)</f>
        <v>0</v>
      </c>
      <c r="AC100" s="79">
        <f>SIS064_F_Kitoseinamojor1Elektrosenergi6</f>
        <v>0</v>
      </c>
      <c r="AD100" s="79">
        <f>SUM(SIS062_F_Kitoseinamojor1Paslaugaproduk9,SIS063_F_Kitoseinamojor1Paslaugaproduk9,SIS065_F_Kitoseinamojor1Paslaugaproduk9)</f>
        <v>67342.11</v>
      </c>
      <c r="AE100" s="80">
        <v>54579.439999999995</v>
      </c>
      <c r="AF100" s="81">
        <v>0</v>
      </c>
      <c r="AG100" s="81">
        <v>0</v>
      </c>
      <c r="AH100" s="81">
        <v>0</v>
      </c>
      <c r="AI100" s="82">
        <v>0</v>
      </c>
      <c r="AJ100" s="82">
        <v>10470.330000000002</v>
      </c>
      <c r="AK100" s="82">
        <v>0</v>
      </c>
      <c r="AL100" s="82">
        <v>0</v>
      </c>
      <c r="AM100" s="82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82">
        <v>0</v>
      </c>
      <c r="AT100" s="82">
        <v>0</v>
      </c>
      <c r="AU100" s="82">
        <v>0</v>
      </c>
      <c r="AV100" s="83">
        <v>0</v>
      </c>
      <c r="AW100" s="80"/>
      <c r="AX100" s="81"/>
      <c r="AY100" s="81"/>
      <c r="AZ100" s="81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3"/>
      <c r="BO100" s="80"/>
      <c r="BP100" s="81"/>
      <c r="BQ100" s="81"/>
      <c r="BR100" s="81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3"/>
      <c r="CG100" s="80"/>
      <c r="CH100" s="81"/>
      <c r="CI100" s="81"/>
      <c r="CJ100" s="81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3"/>
      <c r="CY100" s="80"/>
      <c r="CZ100" s="81"/>
      <c r="DA100" s="81"/>
      <c r="DB100" s="81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3"/>
      <c r="DQ100" s="80"/>
      <c r="DR100" s="81"/>
      <c r="DS100" s="81"/>
      <c r="DT100" s="81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3"/>
      <c r="EI100" s="80"/>
      <c r="EJ100" s="81"/>
      <c r="EK100" s="81"/>
      <c r="EL100" s="81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3"/>
    </row>
    <row r="101" spans="1:156">
      <c r="A101" s="11"/>
      <c r="B101" s="119" t="s">
        <v>181</v>
      </c>
      <c r="C101" s="104" t="str">
        <f>SIS055_D_Kitoseinamojor2</f>
        <v>Kitos einamojo remonto ir aptarnavimo sąnaudos (nurodyti)</v>
      </c>
      <c r="D101" s="104"/>
      <c r="E101" s="104"/>
      <c r="F101" s="105"/>
      <c r="G101" s="75">
        <f t="shared" si="43"/>
        <v>0</v>
      </c>
      <c r="H101" s="117">
        <f t="shared" si="47"/>
        <v>0</v>
      </c>
      <c r="I101" s="118">
        <f t="shared" si="47"/>
        <v>0</v>
      </c>
      <c r="J101" s="118">
        <f t="shared" si="47"/>
        <v>0</v>
      </c>
      <c r="K101" s="118">
        <f t="shared" si="47"/>
        <v>0</v>
      </c>
      <c r="L101" s="79">
        <f t="shared" si="47"/>
        <v>0</v>
      </c>
      <c r="M101" s="78">
        <f t="shared" si="47"/>
        <v>0</v>
      </c>
      <c r="N101" s="78">
        <f t="shared" si="47"/>
        <v>0</v>
      </c>
      <c r="O101" s="78">
        <f t="shared" si="47"/>
        <v>0</v>
      </c>
      <c r="P101" s="78">
        <f t="shared" si="47"/>
        <v>0</v>
      </c>
      <c r="Q101" s="78">
        <f t="shared" si="47"/>
        <v>0</v>
      </c>
      <c r="R101" s="78">
        <f t="shared" si="47"/>
        <v>0</v>
      </c>
      <c r="S101" s="78">
        <f t="shared" si="47"/>
        <v>0</v>
      </c>
      <c r="T101" s="78">
        <f t="shared" si="47"/>
        <v>0</v>
      </c>
      <c r="U101" s="78">
        <f t="shared" si="47"/>
        <v>0</v>
      </c>
      <c r="V101" s="78">
        <f t="shared" si="47"/>
        <v>0</v>
      </c>
      <c r="W101" s="78">
        <f t="shared" si="46"/>
        <v>0</v>
      </c>
      <c r="X101" s="78">
        <f t="shared" si="45"/>
        <v>0</v>
      </c>
      <c r="Y101" s="78">
        <f t="shared" si="45"/>
        <v>0</v>
      </c>
      <c r="Z101" s="79">
        <f>SIS064_F_Kitoseinamojor2Elektrosenergi5</f>
        <v>0</v>
      </c>
      <c r="AA101" s="79">
        <f>SUM(SIS062_F_Kitoseinamojor2Geriamojovande1,SIS063_F_Kitoseinamojor2Geriamojovande1,SIS065_F_Kitoseinamojor2Geriamojovande1)</f>
        <v>0</v>
      </c>
      <c r="AB101" s="79">
        <f>SUM(SIS062_F_Kitoseinamojor2Paslaugaproduk8,SIS063_F_Kitoseinamojor2Paslaugaproduk8,SIS065_F_Kitoseinamojor2Paslaugaproduk8)</f>
        <v>0</v>
      </c>
      <c r="AC101" s="79">
        <f>SIS064_F_Kitoseinamojor2Elektrosenergi6</f>
        <v>0</v>
      </c>
      <c r="AD101" s="79">
        <f>SUM(SIS062_F_Kitoseinamojor2Paslaugaproduk9,SIS063_F_Kitoseinamojor2Paslaugaproduk9,SIS065_F_Kitoseinamojor2Paslaugaproduk9)</f>
        <v>0</v>
      </c>
      <c r="AE101" s="80">
        <v>0</v>
      </c>
      <c r="AF101" s="81">
        <v>0</v>
      </c>
      <c r="AG101" s="81">
        <v>0</v>
      </c>
      <c r="AH101" s="81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83">
        <v>0</v>
      </c>
      <c r="AW101" s="80"/>
      <c r="AX101" s="81"/>
      <c r="AY101" s="81"/>
      <c r="AZ101" s="81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3"/>
      <c r="BO101" s="80"/>
      <c r="BP101" s="81"/>
      <c r="BQ101" s="81"/>
      <c r="BR101" s="81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3"/>
      <c r="CG101" s="80"/>
      <c r="CH101" s="81"/>
      <c r="CI101" s="81"/>
      <c r="CJ101" s="81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3"/>
      <c r="CY101" s="80"/>
      <c r="CZ101" s="81"/>
      <c r="DA101" s="81"/>
      <c r="DB101" s="81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3"/>
      <c r="DQ101" s="80"/>
      <c r="DR101" s="81"/>
      <c r="DS101" s="81"/>
      <c r="DT101" s="81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3"/>
      <c r="EI101" s="80"/>
      <c r="EJ101" s="81"/>
      <c r="EK101" s="81"/>
      <c r="EL101" s="81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3"/>
    </row>
    <row r="102" spans="1:156">
      <c r="A102" s="11"/>
      <c r="B102" s="119" t="s">
        <v>182</v>
      </c>
      <c r="C102" s="104" t="str">
        <f>SIS055_D_Kitoseinamojor3</f>
        <v>Kitos einamojo remonto ir aptarnavimo sąnaudos (nurodyti)</v>
      </c>
      <c r="D102" s="104"/>
      <c r="E102" s="104"/>
      <c r="F102" s="105"/>
      <c r="G102" s="75">
        <f t="shared" si="43"/>
        <v>0</v>
      </c>
      <c r="H102" s="117">
        <f t="shared" si="47"/>
        <v>0</v>
      </c>
      <c r="I102" s="118">
        <f t="shared" si="47"/>
        <v>0</v>
      </c>
      <c r="J102" s="118">
        <f t="shared" si="47"/>
        <v>0</v>
      </c>
      <c r="K102" s="118">
        <f t="shared" si="47"/>
        <v>0</v>
      </c>
      <c r="L102" s="79">
        <f t="shared" si="47"/>
        <v>0</v>
      </c>
      <c r="M102" s="78">
        <f t="shared" si="47"/>
        <v>0</v>
      </c>
      <c r="N102" s="78">
        <f t="shared" si="47"/>
        <v>0</v>
      </c>
      <c r="O102" s="78">
        <f t="shared" si="47"/>
        <v>0</v>
      </c>
      <c r="P102" s="78">
        <f t="shared" si="47"/>
        <v>0</v>
      </c>
      <c r="Q102" s="78">
        <f t="shared" si="47"/>
        <v>0</v>
      </c>
      <c r="R102" s="78">
        <f t="shared" si="47"/>
        <v>0</v>
      </c>
      <c r="S102" s="78">
        <f t="shared" si="47"/>
        <v>0</v>
      </c>
      <c r="T102" s="78">
        <f t="shared" si="47"/>
        <v>0</v>
      </c>
      <c r="U102" s="78">
        <f t="shared" si="47"/>
        <v>0</v>
      </c>
      <c r="V102" s="78">
        <f t="shared" si="47"/>
        <v>0</v>
      </c>
      <c r="W102" s="78">
        <f t="shared" si="46"/>
        <v>0</v>
      </c>
      <c r="X102" s="78">
        <f t="shared" si="45"/>
        <v>0</v>
      </c>
      <c r="Y102" s="78">
        <f t="shared" si="45"/>
        <v>0</v>
      </c>
      <c r="Z102" s="79">
        <f>SIS064_F_Kitoseinamojor3Elektrosenergi5</f>
        <v>0</v>
      </c>
      <c r="AA102" s="79">
        <f>SUM(SIS062_F_Kitoseinamojor3Geriamojovande1,SIS063_F_Kitoseinamojor3Geriamojovande1,SIS065_F_Kitoseinamojor3Geriamojovande1)</f>
        <v>0</v>
      </c>
      <c r="AB102" s="79">
        <f>SUM(SIS062_F_Kitoseinamojor3Paslaugaproduk8,SIS063_F_Kitoseinamojor3Paslaugaproduk8,SIS065_F_Kitoseinamojor3Paslaugaproduk8)</f>
        <v>0</v>
      </c>
      <c r="AC102" s="79">
        <f>SIS064_F_Kitoseinamojor3Elektrosenergi6</f>
        <v>0</v>
      </c>
      <c r="AD102" s="79">
        <f>SUM(SIS062_F_Kitoseinamojor3Paslaugaproduk9,SIS063_F_Kitoseinamojor3Paslaugaproduk9,SIS065_F_Kitoseinamojor3Paslaugaproduk9)</f>
        <v>0</v>
      </c>
      <c r="AE102" s="80">
        <v>0</v>
      </c>
      <c r="AF102" s="81">
        <v>0</v>
      </c>
      <c r="AG102" s="81">
        <v>0</v>
      </c>
      <c r="AH102" s="81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82">
        <v>0</v>
      </c>
      <c r="AO102" s="82">
        <v>0</v>
      </c>
      <c r="AP102" s="82">
        <v>0</v>
      </c>
      <c r="AQ102" s="82">
        <v>0</v>
      </c>
      <c r="AR102" s="82">
        <v>0</v>
      </c>
      <c r="AS102" s="82">
        <v>0</v>
      </c>
      <c r="AT102" s="82">
        <v>0</v>
      </c>
      <c r="AU102" s="82">
        <v>0</v>
      </c>
      <c r="AV102" s="83">
        <v>0</v>
      </c>
      <c r="AW102" s="80"/>
      <c r="AX102" s="81"/>
      <c r="AY102" s="81"/>
      <c r="AZ102" s="81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3"/>
      <c r="BO102" s="80"/>
      <c r="BP102" s="81"/>
      <c r="BQ102" s="81"/>
      <c r="BR102" s="81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3"/>
      <c r="CG102" s="80"/>
      <c r="CH102" s="81"/>
      <c r="CI102" s="81"/>
      <c r="CJ102" s="81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3"/>
      <c r="CY102" s="80"/>
      <c r="CZ102" s="81"/>
      <c r="DA102" s="81"/>
      <c r="DB102" s="81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3"/>
      <c r="DQ102" s="80"/>
      <c r="DR102" s="81"/>
      <c r="DS102" s="81"/>
      <c r="DT102" s="81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3"/>
      <c r="EI102" s="80"/>
      <c r="EJ102" s="81"/>
      <c r="EK102" s="81"/>
      <c r="EL102" s="81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3"/>
    </row>
    <row r="103" spans="1:156">
      <c r="A103" s="11"/>
      <c r="B103" s="119" t="s">
        <v>183</v>
      </c>
      <c r="C103" s="104" t="str">
        <f>SIS055_D_Kitoseinamojor4</f>
        <v>Kitos einamojo remonto ir aptarnavimo sąnaudos (nurodyti)</v>
      </c>
      <c r="D103" s="104"/>
      <c r="E103" s="104"/>
      <c r="F103" s="105"/>
      <c r="G103" s="75">
        <f t="shared" si="43"/>
        <v>0</v>
      </c>
      <c r="H103" s="117">
        <f t="shared" si="47"/>
        <v>0</v>
      </c>
      <c r="I103" s="118">
        <f t="shared" si="47"/>
        <v>0</v>
      </c>
      <c r="J103" s="118">
        <f t="shared" si="47"/>
        <v>0</v>
      </c>
      <c r="K103" s="118">
        <f t="shared" si="47"/>
        <v>0</v>
      </c>
      <c r="L103" s="79">
        <f t="shared" si="47"/>
        <v>0</v>
      </c>
      <c r="M103" s="78">
        <f t="shared" si="47"/>
        <v>0</v>
      </c>
      <c r="N103" s="78">
        <f t="shared" si="47"/>
        <v>0</v>
      </c>
      <c r="O103" s="78">
        <f t="shared" si="47"/>
        <v>0</v>
      </c>
      <c r="P103" s="78">
        <f t="shared" si="47"/>
        <v>0</v>
      </c>
      <c r="Q103" s="78">
        <f t="shared" si="47"/>
        <v>0</v>
      </c>
      <c r="R103" s="78">
        <f t="shared" si="47"/>
        <v>0</v>
      </c>
      <c r="S103" s="78">
        <f t="shared" si="47"/>
        <v>0</v>
      </c>
      <c r="T103" s="78">
        <f t="shared" si="47"/>
        <v>0</v>
      </c>
      <c r="U103" s="78">
        <f t="shared" si="47"/>
        <v>0</v>
      </c>
      <c r="V103" s="78">
        <f t="shared" si="47"/>
        <v>0</v>
      </c>
      <c r="W103" s="78">
        <f t="shared" si="46"/>
        <v>0</v>
      </c>
      <c r="X103" s="78">
        <f t="shared" si="45"/>
        <v>0</v>
      </c>
      <c r="Y103" s="78">
        <f t="shared" si="45"/>
        <v>0</v>
      </c>
      <c r="Z103" s="79">
        <f>SIS064_F_Kitoseinamojor4Elektrosenergi5</f>
        <v>0</v>
      </c>
      <c r="AA103" s="79">
        <f>SUM(SIS062_F_Kitoseinamojor4Geriamojovande1,SIS063_F_Kitoseinamojor4Geriamojovande1,SIS065_F_Kitoseinamojor4Geriamojovande1)</f>
        <v>0</v>
      </c>
      <c r="AB103" s="79">
        <f>SUM(SIS062_F_Kitoseinamojor4Paslaugaproduk8,SIS063_F_Kitoseinamojor4Paslaugaproduk8,SIS065_F_Kitoseinamojor4Paslaugaproduk8)</f>
        <v>0</v>
      </c>
      <c r="AC103" s="79">
        <f>SIS064_F_Kitoseinamojor4Elektrosenergi6</f>
        <v>0</v>
      </c>
      <c r="AD103" s="79">
        <f>SUM(SIS062_F_Kitoseinamojor4Paslaugaproduk9,SIS063_F_Kitoseinamojor4Paslaugaproduk9,SIS065_F_Kitoseinamojor4Paslaugaproduk9)</f>
        <v>0</v>
      </c>
      <c r="AE103" s="80">
        <v>0</v>
      </c>
      <c r="AF103" s="81">
        <v>0</v>
      </c>
      <c r="AG103" s="81">
        <v>0</v>
      </c>
      <c r="AH103" s="81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2">
        <v>0</v>
      </c>
      <c r="AP103" s="82">
        <v>0</v>
      </c>
      <c r="AQ103" s="82">
        <v>0</v>
      </c>
      <c r="AR103" s="82">
        <v>0</v>
      </c>
      <c r="AS103" s="82">
        <v>0</v>
      </c>
      <c r="AT103" s="82">
        <v>0</v>
      </c>
      <c r="AU103" s="82">
        <v>0</v>
      </c>
      <c r="AV103" s="83">
        <v>0</v>
      </c>
      <c r="AW103" s="80"/>
      <c r="AX103" s="81"/>
      <c r="AY103" s="81"/>
      <c r="AZ103" s="81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3"/>
      <c r="BO103" s="80"/>
      <c r="BP103" s="81"/>
      <c r="BQ103" s="81"/>
      <c r="BR103" s="81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3"/>
      <c r="CG103" s="80"/>
      <c r="CH103" s="81"/>
      <c r="CI103" s="81"/>
      <c r="CJ103" s="81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3"/>
      <c r="CY103" s="80"/>
      <c r="CZ103" s="81"/>
      <c r="DA103" s="81"/>
      <c r="DB103" s="81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3"/>
      <c r="DQ103" s="80"/>
      <c r="DR103" s="81"/>
      <c r="DS103" s="81"/>
      <c r="DT103" s="81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3"/>
      <c r="EI103" s="80"/>
      <c r="EJ103" s="81"/>
      <c r="EK103" s="81"/>
      <c r="EL103" s="81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3"/>
    </row>
    <row r="104" spans="1:156">
      <c r="A104" s="11"/>
      <c r="B104" s="119" t="s">
        <v>184</v>
      </c>
      <c r="C104" s="104" t="str">
        <f>SIS055_D_Kitoseinamojor5</f>
        <v>Kitos einamojo remonto ir aptarnavimo sąnaudos (nurodyti)</v>
      </c>
      <c r="D104" s="104"/>
      <c r="E104" s="104"/>
      <c r="F104" s="105"/>
      <c r="G104" s="75">
        <f t="shared" si="43"/>
        <v>0</v>
      </c>
      <c r="H104" s="117">
        <f t="shared" si="47"/>
        <v>0</v>
      </c>
      <c r="I104" s="118">
        <f t="shared" si="47"/>
        <v>0</v>
      </c>
      <c r="J104" s="118">
        <f t="shared" si="47"/>
        <v>0</v>
      </c>
      <c r="K104" s="118">
        <f t="shared" si="47"/>
        <v>0</v>
      </c>
      <c r="L104" s="79">
        <f t="shared" si="47"/>
        <v>0</v>
      </c>
      <c r="M104" s="78">
        <f t="shared" si="47"/>
        <v>0</v>
      </c>
      <c r="N104" s="78">
        <f t="shared" si="47"/>
        <v>0</v>
      </c>
      <c r="O104" s="78">
        <f t="shared" si="47"/>
        <v>0</v>
      </c>
      <c r="P104" s="78">
        <f t="shared" si="47"/>
        <v>0</v>
      </c>
      <c r="Q104" s="78">
        <f t="shared" si="47"/>
        <v>0</v>
      </c>
      <c r="R104" s="78">
        <f t="shared" si="47"/>
        <v>0</v>
      </c>
      <c r="S104" s="78">
        <f t="shared" si="47"/>
        <v>0</v>
      </c>
      <c r="T104" s="78">
        <f t="shared" si="47"/>
        <v>0</v>
      </c>
      <c r="U104" s="78">
        <f t="shared" si="47"/>
        <v>0</v>
      </c>
      <c r="V104" s="78">
        <f t="shared" si="47"/>
        <v>0</v>
      </c>
      <c r="W104" s="78">
        <f t="shared" si="46"/>
        <v>0</v>
      </c>
      <c r="X104" s="78">
        <f t="shared" si="45"/>
        <v>0</v>
      </c>
      <c r="Y104" s="78">
        <f t="shared" si="45"/>
        <v>0</v>
      </c>
      <c r="Z104" s="79">
        <f>SIS064_F_Kitoseinamojor5Elektrosenergi5</f>
        <v>0</v>
      </c>
      <c r="AA104" s="79">
        <f>SUM(SIS062_F_Kitoseinamojor5Geriamojovande1,SIS063_F_Kitoseinamojor5Geriamojovande1,SIS065_F_Kitoseinamojor5Geriamojovande1)</f>
        <v>0</v>
      </c>
      <c r="AB104" s="79">
        <f>SUM(SIS062_F_Kitoseinamojor5Paslaugaproduk8,SIS063_F_Kitoseinamojor5Paslaugaproduk8,SIS065_F_Kitoseinamojor5Paslaugaproduk8)</f>
        <v>0</v>
      </c>
      <c r="AC104" s="79">
        <f>SIS064_F_Kitoseinamojor5Elektrosenergi6</f>
        <v>0</v>
      </c>
      <c r="AD104" s="79">
        <f>SUM(SIS062_F_Kitoseinamojor5Paslaugaproduk9,SIS063_F_Kitoseinamojor5Paslaugaproduk9,SIS065_F_Kitoseinamojor5Paslaugaproduk9)</f>
        <v>0</v>
      </c>
      <c r="AE104" s="80">
        <v>0</v>
      </c>
      <c r="AF104" s="81">
        <v>0</v>
      </c>
      <c r="AG104" s="81">
        <v>0</v>
      </c>
      <c r="AH104" s="81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2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2">
        <v>0</v>
      </c>
      <c r="AU104" s="82">
        <v>0</v>
      </c>
      <c r="AV104" s="83">
        <v>0</v>
      </c>
      <c r="AW104" s="80"/>
      <c r="AX104" s="81"/>
      <c r="AY104" s="81"/>
      <c r="AZ104" s="81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3"/>
      <c r="BO104" s="80"/>
      <c r="BP104" s="81"/>
      <c r="BQ104" s="81"/>
      <c r="BR104" s="81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3"/>
      <c r="CG104" s="80"/>
      <c r="CH104" s="81"/>
      <c r="CI104" s="81"/>
      <c r="CJ104" s="81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3"/>
      <c r="CY104" s="80"/>
      <c r="CZ104" s="81"/>
      <c r="DA104" s="81"/>
      <c r="DB104" s="81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0"/>
      <c r="DR104" s="81"/>
      <c r="DS104" s="81"/>
      <c r="DT104" s="81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3"/>
      <c r="EI104" s="80"/>
      <c r="EJ104" s="81"/>
      <c r="EK104" s="81"/>
      <c r="EL104" s="81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3"/>
    </row>
    <row r="105" spans="1:156">
      <c r="A105" s="11"/>
      <c r="B105" s="84" t="s">
        <v>185</v>
      </c>
      <c r="C105" s="95" t="s">
        <v>186</v>
      </c>
      <c r="D105" s="96"/>
      <c r="E105" s="96"/>
      <c r="F105" s="97"/>
      <c r="G105" s="101">
        <f t="shared" ref="G105:AD105" si="48">SUM(G106:G116)</f>
        <v>1231552.6499999999</v>
      </c>
      <c r="H105" s="88">
        <f t="shared" si="48"/>
        <v>776459.48113030405</v>
      </c>
      <c r="I105" s="89">
        <f t="shared" si="48"/>
        <v>0</v>
      </c>
      <c r="J105" s="89">
        <f t="shared" si="48"/>
        <v>5.8712690087852314E-4</v>
      </c>
      <c r="K105" s="89">
        <f t="shared" si="48"/>
        <v>0</v>
      </c>
      <c r="L105" s="90">
        <f t="shared" si="48"/>
        <v>0</v>
      </c>
      <c r="M105" s="90">
        <f t="shared" si="48"/>
        <v>337781.69712874561</v>
      </c>
      <c r="N105" s="90">
        <f t="shared" si="48"/>
        <v>0</v>
      </c>
      <c r="O105" s="90">
        <f t="shared" si="48"/>
        <v>0</v>
      </c>
      <c r="P105" s="90">
        <f t="shared" si="48"/>
        <v>36176.050051012833</v>
      </c>
      <c r="Q105" s="90">
        <f t="shared" si="48"/>
        <v>15380.553023607732</v>
      </c>
      <c r="R105" s="90">
        <f t="shared" si="48"/>
        <v>0</v>
      </c>
      <c r="S105" s="90">
        <f t="shared" si="48"/>
        <v>256.61596353994304</v>
      </c>
      <c r="T105" s="90">
        <f t="shared" si="48"/>
        <v>0</v>
      </c>
      <c r="U105" s="90">
        <f t="shared" si="48"/>
        <v>0</v>
      </c>
      <c r="V105" s="90">
        <f t="shared" si="48"/>
        <v>0</v>
      </c>
      <c r="W105" s="90">
        <f t="shared" si="48"/>
        <v>0</v>
      </c>
      <c r="X105" s="90">
        <f t="shared" si="48"/>
        <v>0</v>
      </c>
      <c r="Y105" s="90">
        <f t="shared" si="48"/>
        <v>0</v>
      </c>
      <c r="Z105" s="90">
        <f t="shared" si="48"/>
        <v>0</v>
      </c>
      <c r="AA105" s="90">
        <f t="shared" si="48"/>
        <v>0</v>
      </c>
      <c r="AB105" s="90">
        <f t="shared" si="48"/>
        <v>0</v>
      </c>
      <c r="AC105" s="90">
        <f t="shared" si="48"/>
        <v>0</v>
      </c>
      <c r="AD105" s="90">
        <f t="shared" si="48"/>
        <v>65498.25211566277</v>
      </c>
      <c r="AE105" s="88">
        <f t="shared" ref="AE105:CP105" si="49">SUM(AE106:AE116)</f>
        <v>776459.48113030405</v>
      </c>
      <c r="AF105" s="89">
        <f t="shared" si="49"/>
        <v>0</v>
      </c>
      <c r="AG105" s="89">
        <f t="shared" si="49"/>
        <v>5.8712690087852314E-4</v>
      </c>
      <c r="AH105" s="89">
        <f t="shared" si="49"/>
        <v>0</v>
      </c>
      <c r="AI105" s="90">
        <f t="shared" si="49"/>
        <v>0</v>
      </c>
      <c r="AJ105" s="90">
        <f t="shared" si="49"/>
        <v>337781.69712874561</v>
      </c>
      <c r="AK105" s="90">
        <f t="shared" si="49"/>
        <v>0</v>
      </c>
      <c r="AL105" s="90">
        <f t="shared" si="49"/>
        <v>0</v>
      </c>
      <c r="AM105" s="90">
        <f t="shared" si="49"/>
        <v>36176.050051012833</v>
      </c>
      <c r="AN105" s="90">
        <f t="shared" si="49"/>
        <v>15380.553023607732</v>
      </c>
      <c r="AO105" s="90">
        <f t="shared" si="49"/>
        <v>0</v>
      </c>
      <c r="AP105" s="90">
        <f t="shared" si="49"/>
        <v>256.61596353994304</v>
      </c>
      <c r="AQ105" s="90">
        <f t="shared" si="49"/>
        <v>0</v>
      </c>
      <c r="AR105" s="90">
        <f t="shared" si="49"/>
        <v>0</v>
      </c>
      <c r="AS105" s="90">
        <f t="shared" si="49"/>
        <v>0</v>
      </c>
      <c r="AT105" s="90">
        <f t="shared" si="49"/>
        <v>0</v>
      </c>
      <c r="AU105" s="90">
        <f t="shared" si="49"/>
        <v>0</v>
      </c>
      <c r="AV105" s="91">
        <f t="shared" si="49"/>
        <v>0</v>
      </c>
      <c r="AW105" s="88">
        <f t="shared" si="49"/>
        <v>0</v>
      </c>
      <c r="AX105" s="89">
        <f t="shared" si="49"/>
        <v>0</v>
      </c>
      <c r="AY105" s="89">
        <f t="shared" si="49"/>
        <v>0</v>
      </c>
      <c r="AZ105" s="89">
        <f t="shared" si="49"/>
        <v>0</v>
      </c>
      <c r="BA105" s="90">
        <f t="shared" si="49"/>
        <v>0</v>
      </c>
      <c r="BB105" s="90">
        <f t="shared" si="49"/>
        <v>0</v>
      </c>
      <c r="BC105" s="90">
        <f t="shared" si="49"/>
        <v>0</v>
      </c>
      <c r="BD105" s="90">
        <f t="shared" si="49"/>
        <v>0</v>
      </c>
      <c r="BE105" s="90">
        <f t="shared" si="49"/>
        <v>0</v>
      </c>
      <c r="BF105" s="90">
        <f t="shared" si="49"/>
        <v>0</v>
      </c>
      <c r="BG105" s="90">
        <f t="shared" si="49"/>
        <v>0</v>
      </c>
      <c r="BH105" s="90">
        <f t="shared" si="49"/>
        <v>0</v>
      </c>
      <c r="BI105" s="90">
        <f t="shared" si="49"/>
        <v>0</v>
      </c>
      <c r="BJ105" s="90">
        <f t="shared" si="49"/>
        <v>0</v>
      </c>
      <c r="BK105" s="90">
        <f t="shared" si="49"/>
        <v>0</v>
      </c>
      <c r="BL105" s="90">
        <f t="shared" si="49"/>
        <v>0</v>
      </c>
      <c r="BM105" s="90">
        <f t="shared" si="49"/>
        <v>0</v>
      </c>
      <c r="BN105" s="91">
        <f t="shared" si="49"/>
        <v>0</v>
      </c>
      <c r="BO105" s="88">
        <f t="shared" si="49"/>
        <v>0</v>
      </c>
      <c r="BP105" s="89">
        <f t="shared" si="49"/>
        <v>0</v>
      </c>
      <c r="BQ105" s="89">
        <f t="shared" si="49"/>
        <v>0</v>
      </c>
      <c r="BR105" s="89">
        <f t="shared" si="49"/>
        <v>0</v>
      </c>
      <c r="BS105" s="90">
        <f t="shared" si="49"/>
        <v>0</v>
      </c>
      <c r="BT105" s="90">
        <f t="shared" si="49"/>
        <v>0</v>
      </c>
      <c r="BU105" s="90">
        <f t="shared" si="49"/>
        <v>0</v>
      </c>
      <c r="BV105" s="90">
        <f t="shared" si="49"/>
        <v>0</v>
      </c>
      <c r="BW105" s="90">
        <f t="shared" si="49"/>
        <v>0</v>
      </c>
      <c r="BX105" s="90">
        <f t="shared" si="49"/>
        <v>0</v>
      </c>
      <c r="BY105" s="90">
        <f t="shared" si="49"/>
        <v>0</v>
      </c>
      <c r="BZ105" s="90">
        <f t="shared" si="49"/>
        <v>0</v>
      </c>
      <c r="CA105" s="90">
        <f t="shared" si="49"/>
        <v>0</v>
      </c>
      <c r="CB105" s="90">
        <f t="shared" si="49"/>
        <v>0</v>
      </c>
      <c r="CC105" s="90">
        <f t="shared" si="49"/>
        <v>0</v>
      </c>
      <c r="CD105" s="90">
        <f t="shared" si="49"/>
        <v>0</v>
      </c>
      <c r="CE105" s="90">
        <f t="shared" si="49"/>
        <v>0</v>
      </c>
      <c r="CF105" s="91">
        <f t="shared" si="49"/>
        <v>0</v>
      </c>
      <c r="CG105" s="88">
        <f t="shared" si="49"/>
        <v>0</v>
      </c>
      <c r="CH105" s="89">
        <f t="shared" si="49"/>
        <v>0</v>
      </c>
      <c r="CI105" s="89">
        <f t="shared" si="49"/>
        <v>0</v>
      </c>
      <c r="CJ105" s="89">
        <f t="shared" si="49"/>
        <v>0</v>
      </c>
      <c r="CK105" s="90">
        <f t="shared" si="49"/>
        <v>0</v>
      </c>
      <c r="CL105" s="90">
        <f t="shared" si="49"/>
        <v>0</v>
      </c>
      <c r="CM105" s="90">
        <f t="shared" si="49"/>
        <v>0</v>
      </c>
      <c r="CN105" s="90">
        <f t="shared" si="49"/>
        <v>0</v>
      </c>
      <c r="CO105" s="90">
        <f t="shared" si="49"/>
        <v>0</v>
      </c>
      <c r="CP105" s="90">
        <f t="shared" si="49"/>
        <v>0</v>
      </c>
      <c r="CQ105" s="90">
        <f t="shared" ref="CQ105:EZ105" si="50">SUM(CQ106:CQ116)</f>
        <v>0</v>
      </c>
      <c r="CR105" s="90">
        <f t="shared" si="50"/>
        <v>0</v>
      </c>
      <c r="CS105" s="90">
        <f t="shared" si="50"/>
        <v>0</v>
      </c>
      <c r="CT105" s="90">
        <f t="shared" si="50"/>
        <v>0</v>
      </c>
      <c r="CU105" s="90">
        <f t="shared" si="50"/>
        <v>0</v>
      </c>
      <c r="CV105" s="90">
        <f t="shared" si="50"/>
        <v>0</v>
      </c>
      <c r="CW105" s="90">
        <f t="shared" si="50"/>
        <v>0</v>
      </c>
      <c r="CX105" s="91">
        <f t="shared" si="50"/>
        <v>0</v>
      </c>
      <c r="CY105" s="88">
        <f t="shared" si="50"/>
        <v>0</v>
      </c>
      <c r="CZ105" s="89">
        <f t="shared" si="50"/>
        <v>0</v>
      </c>
      <c r="DA105" s="89">
        <f t="shared" si="50"/>
        <v>0</v>
      </c>
      <c r="DB105" s="89">
        <f t="shared" si="50"/>
        <v>0</v>
      </c>
      <c r="DC105" s="90">
        <f t="shared" si="50"/>
        <v>0</v>
      </c>
      <c r="DD105" s="90">
        <f t="shared" si="50"/>
        <v>0</v>
      </c>
      <c r="DE105" s="90">
        <f t="shared" si="50"/>
        <v>0</v>
      </c>
      <c r="DF105" s="90">
        <f t="shared" si="50"/>
        <v>0</v>
      </c>
      <c r="DG105" s="90">
        <f t="shared" si="50"/>
        <v>0</v>
      </c>
      <c r="DH105" s="90">
        <f t="shared" si="50"/>
        <v>0</v>
      </c>
      <c r="DI105" s="90">
        <f t="shared" si="50"/>
        <v>0</v>
      </c>
      <c r="DJ105" s="90">
        <f t="shared" si="50"/>
        <v>0</v>
      </c>
      <c r="DK105" s="90">
        <f t="shared" si="50"/>
        <v>0</v>
      </c>
      <c r="DL105" s="90">
        <f t="shared" si="50"/>
        <v>0</v>
      </c>
      <c r="DM105" s="90">
        <f t="shared" si="50"/>
        <v>0</v>
      </c>
      <c r="DN105" s="90">
        <f t="shared" si="50"/>
        <v>0</v>
      </c>
      <c r="DO105" s="90">
        <f t="shared" si="50"/>
        <v>0</v>
      </c>
      <c r="DP105" s="91">
        <f t="shared" si="50"/>
        <v>0</v>
      </c>
      <c r="DQ105" s="88">
        <f t="shared" si="50"/>
        <v>0</v>
      </c>
      <c r="DR105" s="89">
        <f t="shared" si="50"/>
        <v>0</v>
      </c>
      <c r="DS105" s="89">
        <f t="shared" si="50"/>
        <v>0</v>
      </c>
      <c r="DT105" s="89">
        <f t="shared" si="50"/>
        <v>0</v>
      </c>
      <c r="DU105" s="90">
        <f t="shared" si="50"/>
        <v>0</v>
      </c>
      <c r="DV105" s="90">
        <f t="shared" si="50"/>
        <v>0</v>
      </c>
      <c r="DW105" s="90">
        <f t="shared" si="50"/>
        <v>0</v>
      </c>
      <c r="DX105" s="90">
        <f t="shared" si="50"/>
        <v>0</v>
      </c>
      <c r="DY105" s="90">
        <f t="shared" si="50"/>
        <v>0</v>
      </c>
      <c r="DZ105" s="90">
        <f t="shared" si="50"/>
        <v>0</v>
      </c>
      <c r="EA105" s="90">
        <f t="shared" si="50"/>
        <v>0</v>
      </c>
      <c r="EB105" s="90">
        <f t="shared" si="50"/>
        <v>0</v>
      </c>
      <c r="EC105" s="90">
        <f t="shared" si="50"/>
        <v>0</v>
      </c>
      <c r="ED105" s="90">
        <f t="shared" si="50"/>
        <v>0</v>
      </c>
      <c r="EE105" s="90">
        <f t="shared" si="50"/>
        <v>0</v>
      </c>
      <c r="EF105" s="90">
        <f t="shared" si="50"/>
        <v>0</v>
      </c>
      <c r="EG105" s="90">
        <f t="shared" si="50"/>
        <v>0</v>
      </c>
      <c r="EH105" s="91">
        <f t="shared" si="50"/>
        <v>0</v>
      </c>
      <c r="EI105" s="88">
        <f t="shared" si="50"/>
        <v>0</v>
      </c>
      <c r="EJ105" s="89">
        <f t="shared" si="50"/>
        <v>0</v>
      </c>
      <c r="EK105" s="89">
        <f t="shared" si="50"/>
        <v>0</v>
      </c>
      <c r="EL105" s="89">
        <f t="shared" si="50"/>
        <v>0</v>
      </c>
      <c r="EM105" s="90">
        <f t="shared" si="50"/>
        <v>0</v>
      </c>
      <c r="EN105" s="90">
        <f t="shared" si="50"/>
        <v>0</v>
      </c>
      <c r="EO105" s="90">
        <f t="shared" si="50"/>
        <v>0</v>
      </c>
      <c r="EP105" s="90">
        <f t="shared" si="50"/>
        <v>0</v>
      </c>
      <c r="EQ105" s="90">
        <f t="shared" si="50"/>
        <v>0</v>
      </c>
      <c r="ER105" s="90">
        <f t="shared" si="50"/>
        <v>0</v>
      </c>
      <c r="ES105" s="90">
        <f t="shared" si="50"/>
        <v>0</v>
      </c>
      <c r="ET105" s="90">
        <f t="shared" si="50"/>
        <v>0</v>
      </c>
      <c r="EU105" s="90">
        <f t="shared" si="50"/>
        <v>0</v>
      </c>
      <c r="EV105" s="90">
        <f t="shared" si="50"/>
        <v>0</v>
      </c>
      <c r="EW105" s="90">
        <f t="shared" si="50"/>
        <v>0</v>
      </c>
      <c r="EX105" s="90">
        <f t="shared" si="50"/>
        <v>0</v>
      </c>
      <c r="EY105" s="90">
        <f t="shared" si="50"/>
        <v>0</v>
      </c>
      <c r="EZ105" s="91">
        <f t="shared" si="50"/>
        <v>0</v>
      </c>
    </row>
    <row r="106" spans="1:156">
      <c r="A106" s="11"/>
      <c r="B106" s="103" t="s">
        <v>187</v>
      </c>
      <c r="C106" s="104" t="s">
        <v>188</v>
      </c>
      <c r="D106" s="104"/>
      <c r="E106" s="104"/>
      <c r="F106" s="105"/>
      <c r="G106" s="75">
        <f t="shared" ref="G106:G116" si="51">SUM(H106:AD106)</f>
        <v>1197515.1499999999</v>
      </c>
      <c r="H106" s="76">
        <f t="shared" ref="H106:W116" si="52">SUM(AE106,AW106,BO106,CG106,CY106,DQ106,EI106)</f>
        <v>751283.56295536016</v>
      </c>
      <c r="I106" s="77">
        <f t="shared" si="52"/>
        <v>0</v>
      </c>
      <c r="J106" s="77">
        <f t="shared" si="52"/>
        <v>5.7408965942685292E-4</v>
      </c>
      <c r="K106" s="77">
        <f t="shared" si="52"/>
        <v>0</v>
      </c>
      <c r="L106" s="78">
        <f t="shared" si="52"/>
        <v>0</v>
      </c>
      <c r="M106" s="78">
        <f t="shared" si="52"/>
        <v>331193.52784123935</v>
      </c>
      <c r="N106" s="78">
        <f t="shared" si="52"/>
        <v>0</v>
      </c>
      <c r="O106" s="78">
        <f t="shared" si="52"/>
        <v>0</v>
      </c>
      <c r="P106" s="78">
        <f t="shared" si="52"/>
        <v>35462.204075181246</v>
      </c>
      <c r="Q106" s="78">
        <f t="shared" si="52"/>
        <v>15086.118000592494</v>
      </c>
      <c r="R106" s="78">
        <f t="shared" si="52"/>
        <v>0</v>
      </c>
      <c r="S106" s="78">
        <f t="shared" si="52"/>
        <v>250.91776733735506</v>
      </c>
      <c r="T106" s="78">
        <f t="shared" si="52"/>
        <v>0</v>
      </c>
      <c r="U106" s="78">
        <f t="shared" si="52"/>
        <v>0</v>
      </c>
      <c r="V106" s="78">
        <f t="shared" si="52"/>
        <v>0</v>
      </c>
      <c r="W106" s="78">
        <f t="shared" si="52"/>
        <v>0</v>
      </c>
      <c r="X106" s="78">
        <f t="shared" ref="X106:Y116" si="53">SUM(AU106,BM106,CE106,CW106,DO106,EG106,EY106)</f>
        <v>0</v>
      </c>
      <c r="Y106" s="78">
        <f t="shared" si="53"/>
        <v>0</v>
      </c>
      <c r="Z106" s="79">
        <f>SIS064_F_Darbouzmokesci1Elektrosenergi5</f>
        <v>0</v>
      </c>
      <c r="AA106" s="79">
        <f>SUM(SIS062_F_Darbouzmokesci1Geriamojovande1,SIS063_F_Darbouzmokesci1Geriamojovande1,SIS065_F_Darbouzmokesci1Geriamojovande1)</f>
        <v>0</v>
      </c>
      <c r="AB106" s="79">
        <f>SUM(SIS062_F_Darbouzmokesci1Paslaugaproduk8,SIS063_F_Darbouzmokesci1Paslaugaproduk8,SIS065_F_Darbouzmokesci1Paslaugaproduk8)</f>
        <v>0</v>
      </c>
      <c r="AC106" s="79">
        <f>SIS064_F_Darbouzmokesci1Elektrosenergi6</f>
        <v>0</v>
      </c>
      <c r="AD106" s="79">
        <f>SUM(SIS062_F_Darbouzmokesci1Paslaugaproduk9,SIS063_F_Darbouzmokesci1Paslaugaproduk9,SIS065_F_Darbouzmokesci1Paslaugaproduk9)</f>
        <v>64238.818786199576</v>
      </c>
      <c r="AE106" s="80">
        <v>751283.56295536016</v>
      </c>
      <c r="AF106" s="81">
        <v>0</v>
      </c>
      <c r="AG106" s="81">
        <v>5.7408965942685292E-4</v>
      </c>
      <c r="AH106" s="81">
        <v>0</v>
      </c>
      <c r="AI106" s="82">
        <v>0</v>
      </c>
      <c r="AJ106" s="82">
        <v>331193.52784123935</v>
      </c>
      <c r="AK106" s="82">
        <v>0</v>
      </c>
      <c r="AL106" s="82">
        <v>0</v>
      </c>
      <c r="AM106" s="82">
        <v>35462.204075181246</v>
      </c>
      <c r="AN106" s="82">
        <v>15086.118000592494</v>
      </c>
      <c r="AO106" s="82">
        <v>0</v>
      </c>
      <c r="AP106" s="82">
        <v>250.91776733735506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83">
        <v>0</v>
      </c>
      <c r="AW106" s="80"/>
      <c r="AX106" s="81"/>
      <c r="AY106" s="81"/>
      <c r="AZ106" s="81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3"/>
      <c r="BO106" s="80"/>
      <c r="BP106" s="81"/>
      <c r="BQ106" s="81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3"/>
      <c r="CG106" s="80"/>
      <c r="CH106" s="81"/>
      <c r="CI106" s="81"/>
      <c r="CJ106" s="81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3"/>
      <c r="CY106" s="80"/>
      <c r="CZ106" s="81"/>
      <c r="DA106" s="81"/>
      <c r="DB106" s="81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3"/>
      <c r="DQ106" s="80"/>
      <c r="DR106" s="81"/>
      <c r="DS106" s="81"/>
      <c r="DT106" s="81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3"/>
      <c r="EI106" s="80"/>
      <c r="EJ106" s="81"/>
      <c r="EK106" s="81"/>
      <c r="EL106" s="81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3"/>
    </row>
    <row r="107" spans="1:156">
      <c r="A107" s="11"/>
      <c r="B107" s="103" t="s">
        <v>189</v>
      </c>
      <c r="C107" s="104" t="s">
        <v>190</v>
      </c>
      <c r="D107" s="104"/>
      <c r="E107" s="104"/>
      <c r="F107" s="105"/>
      <c r="G107" s="75">
        <f t="shared" si="51"/>
        <v>22259.57</v>
      </c>
      <c r="H107" s="76">
        <f t="shared" si="52"/>
        <v>14034.649161920031</v>
      </c>
      <c r="I107" s="77">
        <f t="shared" si="52"/>
        <v>0</v>
      </c>
      <c r="J107" s="77">
        <f t="shared" si="52"/>
        <v>1.0699996861147943E-5</v>
      </c>
      <c r="K107" s="77">
        <f t="shared" si="52"/>
        <v>0</v>
      </c>
      <c r="L107" s="78">
        <f t="shared" si="52"/>
        <v>0</v>
      </c>
      <c r="M107" s="78">
        <f t="shared" si="52"/>
        <v>6107.6364618919079</v>
      </c>
      <c r="N107" s="78">
        <f t="shared" si="52"/>
        <v>0</v>
      </c>
      <c r="O107" s="78">
        <f t="shared" si="52"/>
        <v>0</v>
      </c>
      <c r="P107" s="78">
        <f t="shared" si="52"/>
        <v>645.85760244083883</v>
      </c>
      <c r="Q107" s="78">
        <f t="shared" si="52"/>
        <v>279.94901111323594</v>
      </c>
      <c r="R107" s="78">
        <f t="shared" si="52"/>
        <v>0</v>
      </c>
      <c r="S107" s="78">
        <f t="shared" si="52"/>
        <v>4.676655081361961</v>
      </c>
      <c r="T107" s="78">
        <f t="shared" si="52"/>
        <v>0</v>
      </c>
      <c r="U107" s="78">
        <f t="shared" si="52"/>
        <v>0</v>
      </c>
      <c r="V107" s="78">
        <f t="shared" si="52"/>
        <v>0</v>
      </c>
      <c r="W107" s="78">
        <f t="shared" si="52"/>
        <v>0</v>
      </c>
      <c r="X107" s="78">
        <f t="shared" si="53"/>
        <v>0</v>
      </c>
      <c r="Y107" s="78">
        <f t="shared" si="53"/>
        <v>0</v>
      </c>
      <c r="Z107" s="79">
        <f>SIS064_F_Darbdavioimoku1Elektrosenergi5</f>
        <v>0</v>
      </c>
      <c r="AA107" s="79">
        <f>SUM(SIS062_F_Darbdavioimoku1Geriamojovande1,SIS063_F_Darbdavioimoku1Geriamojovande1,SIS065_F_Darbdavioimoku1Geriamojovande1)</f>
        <v>0</v>
      </c>
      <c r="AB107" s="79">
        <f>SUM(SIS062_F_Darbdavioimoku1Paslaugaproduk8,SIS063_F_Darbdavioimoku1Paslaugaproduk8,SIS065_F_Darbdavioimoku1Paslaugaproduk8)</f>
        <v>0</v>
      </c>
      <c r="AC107" s="79">
        <f>SIS064_F_Darbdavioimoku1Elektrosenergi6</f>
        <v>0</v>
      </c>
      <c r="AD107" s="79">
        <f>SUM(SIS062_F_Darbdavioimoku1Paslaugaproduk9,SIS063_F_Darbdavioimoku1Paslaugaproduk9,SIS065_F_Darbdavioimoku1Paslaugaproduk9)</f>
        <v>1186.8010968526244</v>
      </c>
      <c r="AE107" s="80">
        <v>14034.649161920031</v>
      </c>
      <c r="AF107" s="81">
        <v>0</v>
      </c>
      <c r="AG107" s="81">
        <v>1.0699996861147943E-5</v>
      </c>
      <c r="AH107" s="81">
        <v>0</v>
      </c>
      <c r="AI107" s="82">
        <v>0</v>
      </c>
      <c r="AJ107" s="82">
        <v>6107.6364618919079</v>
      </c>
      <c r="AK107" s="82">
        <v>0</v>
      </c>
      <c r="AL107" s="82">
        <v>0</v>
      </c>
      <c r="AM107" s="82">
        <v>645.85760244083883</v>
      </c>
      <c r="AN107" s="82">
        <v>279.94901111323594</v>
      </c>
      <c r="AO107" s="82">
        <v>0</v>
      </c>
      <c r="AP107" s="82">
        <v>4.676655081361961</v>
      </c>
      <c r="AQ107" s="82">
        <v>0</v>
      </c>
      <c r="AR107" s="82">
        <v>0</v>
      </c>
      <c r="AS107" s="82">
        <v>0</v>
      </c>
      <c r="AT107" s="82">
        <v>0</v>
      </c>
      <c r="AU107" s="82">
        <v>0</v>
      </c>
      <c r="AV107" s="83">
        <v>0</v>
      </c>
      <c r="AW107" s="80"/>
      <c r="AX107" s="81"/>
      <c r="AY107" s="81"/>
      <c r="AZ107" s="81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3"/>
      <c r="BO107" s="80"/>
      <c r="BP107" s="81"/>
      <c r="BQ107" s="81"/>
      <c r="BR107" s="81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3"/>
      <c r="CG107" s="80"/>
      <c r="CH107" s="81"/>
      <c r="CI107" s="81"/>
      <c r="CJ107" s="81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3"/>
      <c r="CY107" s="80"/>
      <c r="CZ107" s="81"/>
      <c r="DA107" s="81"/>
      <c r="DB107" s="81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3"/>
      <c r="DQ107" s="80"/>
      <c r="DR107" s="81"/>
      <c r="DS107" s="81"/>
      <c r="DT107" s="81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3"/>
      <c r="EI107" s="80"/>
      <c r="EJ107" s="81"/>
      <c r="EK107" s="81"/>
      <c r="EL107" s="81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3"/>
    </row>
    <row r="108" spans="1:156">
      <c r="A108" s="11"/>
      <c r="B108" s="103" t="s">
        <v>191</v>
      </c>
      <c r="C108" s="108" t="s">
        <v>192</v>
      </c>
      <c r="D108" s="104"/>
      <c r="E108" s="104"/>
      <c r="F108" s="116"/>
      <c r="G108" s="75">
        <f t="shared" si="51"/>
        <v>0</v>
      </c>
      <c r="H108" s="76">
        <f t="shared" si="52"/>
        <v>0</v>
      </c>
      <c r="I108" s="77">
        <f t="shared" si="52"/>
        <v>0</v>
      </c>
      <c r="J108" s="77">
        <f t="shared" si="52"/>
        <v>0</v>
      </c>
      <c r="K108" s="77">
        <f t="shared" si="52"/>
        <v>0</v>
      </c>
      <c r="L108" s="78">
        <f t="shared" si="52"/>
        <v>0</v>
      </c>
      <c r="M108" s="78">
        <f t="shared" si="52"/>
        <v>0</v>
      </c>
      <c r="N108" s="78">
        <f t="shared" si="52"/>
        <v>0</v>
      </c>
      <c r="O108" s="78">
        <f t="shared" si="52"/>
        <v>0</v>
      </c>
      <c r="P108" s="78">
        <f t="shared" si="52"/>
        <v>0</v>
      </c>
      <c r="Q108" s="78">
        <f t="shared" si="52"/>
        <v>0</v>
      </c>
      <c r="R108" s="78">
        <f t="shared" si="52"/>
        <v>0</v>
      </c>
      <c r="S108" s="78">
        <f t="shared" si="52"/>
        <v>0</v>
      </c>
      <c r="T108" s="78">
        <f t="shared" si="52"/>
        <v>0</v>
      </c>
      <c r="U108" s="78">
        <f t="shared" si="52"/>
        <v>0</v>
      </c>
      <c r="V108" s="78">
        <f t="shared" si="52"/>
        <v>0</v>
      </c>
      <c r="W108" s="78">
        <f t="shared" si="52"/>
        <v>0</v>
      </c>
      <c r="X108" s="78">
        <f t="shared" si="53"/>
        <v>0</v>
      </c>
      <c r="Y108" s="78">
        <f t="shared" si="53"/>
        <v>0</v>
      </c>
      <c r="Z108" s="79">
        <f>SIS064_F_Papildomodarbu1Elektrosenergi5</f>
        <v>0</v>
      </c>
      <c r="AA108" s="79">
        <f>SUM(SIS062_F_Papildomodarbu1Geriamojovande1,SIS063_F_Papildomodarbu1Geriamojovande1,SIS065_F_Papildomodarbu1Geriamojovande1)</f>
        <v>0</v>
      </c>
      <c r="AB108" s="79">
        <f>SUM(SIS062_F_Papildomodarbu1Paslaugaproduk8,SIS063_F_Papildomodarbu1Paslaugaproduk8,SIS065_F_Papildomodarbu1Paslaugaproduk8)</f>
        <v>0</v>
      </c>
      <c r="AC108" s="79">
        <f>SIS064_F_Papildomodarbu1Elektrosenergi6</f>
        <v>0</v>
      </c>
      <c r="AD108" s="79">
        <f>SUM(SIS062_F_Papildomodarbu1Paslaugaproduk9,SIS063_F_Papildomodarbu1Paslaugaproduk9,SIS065_F_Papildomodarbu1Paslaugaproduk9)</f>
        <v>0</v>
      </c>
      <c r="AE108" s="80">
        <v>0</v>
      </c>
      <c r="AF108" s="81">
        <v>0</v>
      </c>
      <c r="AG108" s="81">
        <v>0</v>
      </c>
      <c r="AH108" s="81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83">
        <v>0</v>
      </c>
      <c r="AW108" s="80"/>
      <c r="AX108" s="81"/>
      <c r="AY108" s="81"/>
      <c r="AZ108" s="81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3"/>
      <c r="BO108" s="80"/>
      <c r="BP108" s="81"/>
      <c r="BQ108" s="81"/>
      <c r="BR108" s="81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3"/>
      <c r="CG108" s="80"/>
      <c r="CH108" s="81"/>
      <c r="CI108" s="81"/>
      <c r="CJ108" s="81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3"/>
      <c r="CY108" s="80"/>
      <c r="CZ108" s="81"/>
      <c r="DA108" s="81"/>
      <c r="DB108" s="81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3"/>
      <c r="DQ108" s="80"/>
      <c r="DR108" s="81"/>
      <c r="DS108" s="81"/>
      <c r="DT108" s="81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3"/>
      <c r="EI108" s="80"/>
      <c r="EJ108" s="81"/>
      <c r="EK108" s="81"/>
      <c r="EL108" s="81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3"/>
    </row>
    <row r="109" spans="1:156">
      <c r="A109" s="11"/>
      <c r="B109" s="103" t="s">
        <v>193</v>
      </c>
      <c r="C109" s="108" t="s">
        <v>194</v>
      </c>
      <c r="D109" s="104"/>
      <c r="E109" s="104"/>
      <c r="F109" s="116"/>
      <c r="G109" s="75">
        <f t="shared" si="51"/>
        <v>2853.9999999999995</v>
      </c>
      <c r="H109" s="76">
        <f t="shared" si="52"/>
        <v>2336.0813081098158</v>
      </c>
      <c r="I109" s="77">
        <f t="shared" si="52"/>
        <v>0</v>
      </c>
      <c r="J109" s="77">
        <f t="shared" si="52"/>
        <v>1.5225643146289042E-6</v>
      </c>
      <c r="K109" s="77">
        <f t="shared" si="52"/>
        <v>0</v>
      </c>
      <c r="L109" s="78">
        <f t="shared" si="52"/>
        <v>0</v>
      </c>
      <c r="M109" s="78">
        <f t="shared" si="52"/>
        <v>402.26867428829394</v>
      </c>
      <c r="N109" s="78">
        <f t="shared" si="52"/>
        <v>0</v>
      </c>
      <c r="O109" s="78">
        <f t="shared" si="52"/>
        <v>0</v>
      </c>
      <c r="P109" s="78">
        <f t="shared" si="52"/>
        <v>58.232622602729776</v>
      </c>
      <c r="Q109" s="78">
        <f t="shared" si="52"/>
        <v>9.4367037462468399</v>
      </c>
      <c r="R109" s="78">
        <f t="shared" si="52"/>
        <v>0</v>
      </c>
      <c r="S109" s="78">
        <f t="shared" si="52"/>
        <v>0.66546824556224549</v>
      </c>
      <c r="T109" s="78">
        <f t="shared" si="52"/>
        <v>0</v>
      </c>
      <c r="U109" s="78">
        <f t="shared" si="52"/>
        <v>0</v>
      </c>
      <c r="V109" s="78">
        <f t="shared" si="52"/>
        <v>0</v>
      </c>
      <c r="W109" s="78">
        <f t="shared" si="52"/>
        <v>0</v>
      </c>
      <c r="X109" s="78">
        <f t="shared" si="53"/>
        <v>0</v>
      </c>
      <c r="Y109" s="78">
        <f t="shared" si="53"/>
        <v>0</v>
      </c>
      <c r="Z109" s="79">
        <f>SIS064_F_Mokymukvalifik1Elektrosenergi5</f>
        <v>0</v>
      </c>
      <c r="AA109" s="79">
        <f>SUM(SIS062_F_Mokymukvalifik1Geriamojovande1,SIS063_F_Mokymukvalifik1Geriamojovande1,SIS065_F_Mokymukvalifik1Geriamojovande1)</f>
        <v>0</v>
      </c>
      <c r="AB109" s="79">
        <f>SUM(SIS062_F_Mokymukvalifik1Paslaugaproduk8,SIS063_F_Mokymukvalifik1Paslaugaproduk8,SIS065_F_Mokymukvalifik1Paslaugaproduk8)</f>
        <v>0</v>
      </c>
      <c r="AC109" s="79">
        <f>SIS064_F_Mokymukvalifik1Elektrosenergi6</f>
        <v>0</v>
      </c>
      <c r="AD109" s="79">
        <f>SUM(SIS062_F_Mokymukvalifik1Paslaugaproduk9,SIS063_F_Mokymukvalifik1Paslaugaproduk9,SIS065_F_Mokymukvalifik1Paslaugaproduk9)</f>
        <v>47.315221484786917</v>
      </c>
      <c r="AE109" s="80">
        <v>2336.0813081098158</v>
      </c>
      <c r="AF109" s="81">
        <v>0</v>
      </c>
      <c r="AG109" s="81">
        <v>1.5225643146289042E-6</v>
      </c>
      <c r="AH109" s="81">
        <v>0</v>
      </c>
      <c r="AI109" s="82">
        <v>0</v>
      </c>
      <c r="AJ109" s="82">
        <v>402.26867428829394</v>
      </c>
      <c r="AK109" s="82">
        <v>0</v>
      </c>
      <c r="AL109" s="82">
        <v>0</v>
      </c>
      <c r="AM109" s="82">
        <v>58.232622602729776</v>
      </c>
      <c r="AN109" s="82">
        <v>9.4367037462468399</v>
      </c>
      <c r="AO109" s="82">
        <v>0</v>
      </c>
      <c r="AP109" s="82">
        <v>0.66546824556224549</v>
      </c>
      <c r="AQ109" s="82">
        <v>0</v>
      </c>
      <c r="AR109" s="82">
        <v>0</v>
      </c>
      <c r="AS109" s="82">
        <v>0</v>
      </c>
      <c r="AT109" s="82">
        <v>0</v>
      </c>
      <c r="AU109" s="82">
        <v>0</v>
      </c>
      <c r="AV109" s="83">
        <v>0</v>
      </c>
      <c r="AW109" s="80"/>
      <c r="AX109" s="81"/>
      <c r="AY109" s="81"/>
      <c r="AZ109" s="81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3"/>
      <c r="BO109" s="80"/>
      <c r="BP109" s="81"/>
      <c r="BQ109" s="81"/>
      <c r="BR109" s="81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3"/>
      <c r="CG109" s="80"/>
      <c r="CH109" s="81"/>
      <c r="CI109" s="81"/>
      <c r="CJ109" s="81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3"/>
      <c r="CY109" s="80"/>
      <c r="CZ109" s="81"/>
      <c r="DA109" s="81"/>
      <c r="DB109" s="81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3"/>
      <c r="DQ109" s="80"/>
      <c r="DR109" s="81"/>
      <c r="DS109" s="81"/>
      <c r="DT109" s="81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3"/>
      <c r="EI109" s="80"/>
      <c r="EJ109" s="81"/>
      <c r="EK109" s="81"/>
      <c r="EL109" s="81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3"/>
    </row>
    <row r="110" spans="1:156">
      <c r="A110" s="11"/>
      <c r="B110" s="103" t="s">
        <v>195</v>
      </c>
      <c r="C110" s="108" t="s">
        <v>196</v>
      </c>
      <c r="D110" s="104"/>
      <c r="E110" s="104"/>
      <c r="F110" s="116"/>
      <c r="G110" s="75">
        <f t="shared" si="51"/>
        <v>0</v>
      </c>
      <c r="H110" s="76">
        <f t="shared" si="52"/>
        <v>0</v>
      </c>
      <c r="I110" s="77">
        <f t="shared" si="52"/>
        <v>0</v>
      </c>
      <c r="J110" s="77">
        <f t="shared" si="52"/>
        <v>0</v>
      </c>
      <c r="K110" s="77">
        <f t="shared" si="52"/>
        <v>0</v>
      </c>
      <c r="L110" s="78">
        <f t="shared" si="52"/>
        <v>0</v>
      </c>
      <c r="M110" s="78">
        <f t="shared" si="52"/>
        <v>0</v>
      </c>
      <c r="N110" s="78">
        <f t="shared" si="52"/>
        <v>0</v>
      </c>
      <c r="O110" s="78">
        <f t="shared" si="52"/>
        <v>0</v>
      </c>
      <c r="P110" s="78">
        <f t="shared" si="52"/>
        <v>0</v>
      </c>
      <c r="Q110" s="78">
        <f t="shared" si="52"/>
        <v>0</v>
      </c>
      <c r="R110" s="78">
        <f t="shared" si="52"/>
        <v>0</v>
      </c>
      <c r="S110" s="78">
        <f t="shared" si="52"/>
        <v>0</v>
      </c>
      <c r="T110" s="78">
        <f t="shared" si="52"/>
        <v>0</v>
      </c>
      <c r="U110" s="78">
        <f t="shared" si="52"/>
        <v>0</v>
      </c>
      <c r="V110" s="78">
        <f t="shared" si="52"/>
        <v>0</v>
      </c>
      <c r="W110" s="78">
        <f t="shared" si="52"/>
        <v>0</v>
      </c>
      <c r="X110" s="78">
        <f t="shared" si="53"/>
        <v>0</v>
      </c>
      <c r="Y110" s="78">
        <f t="shared" si="53"/>
        <v>0</v>
      </c>
      <c r="Z110" s="79">
        <f>SIS064_F_Iseitinespasal1Elektrosenergi5</f>
        <v>0</v>
      </c>
      <c r="AA110" s="79">
        <f>SUM(SIS062_F_Iseitinespasal1Geriamojovande1,SIS063_F_Iseitinespasal1Geriamojovande1,SIS065_F_Iseitinespasal1Geriamojovande1)</f>
        <v>0</v>
      </c>
      <c r="AB110" s="79">
        <f>SUM(SIS062_F_Iseitinespasal1Paslaugaproduk8,SIS063_F_Iseitinespasal1Paslaugaproduk8,SIS065_F_Iseitinespasal1Paslaugaproduk8)</f>
        <v>0</v>
      </c>
      <c r="AC110" s="79">
        <f>SIS064_F_Iseitinespasal1Elektrosenergi6</f>
        <v>0</v>
      </c>
      <c r="AD110" s="79">
        <f>SUM(SIS062_F_Iseitinespasal1Paslaugaproduk9,SIS063_F_Iseitinespasal1Paslaugaproduk9,SIS065_F_Iseitinespasal1Paslaugaproduk9)</f>
        <v>0</v>
      </c>
      <c r="AE110" s="80">
        <v>0</v>
      </c>
      <c r="AF110" s="81">
        <v>0</v>
      </c>
      <c r="AG110" s="81">
        <v>0</v>
      </c>
      <c r="AH110" s="81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v>0</v>
      </c>
      <c r="AS110" s="82">
        <v>0</v>
      </c>
      <c r="AT110" s="82">
        <v>0</v>
      </c>
      <c r="AU110" s="82">
        <v>0</v>
      </c>
      <c r="AV110" s="83">
        <v>0</v>
      </c>
      <c r="AW110" s="80"/>
      <c r="AX110" s="81"/>
      <c r="AY110" s="81"/>
      <c r="AZ110" s="81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3"/>
      <c r="BO110" s="80"/>
      <c r="BP110" s="81"/>
      <c r="BQ110" s="81"/>
      <c r="BR110" s="81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3"/>
      <c r="CG110" s="80"/>
      <c r="CH110" s="81"/>
      <c r="CI110" s="81"/>
      <c r="CJ110" s="81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3"/>
      <c r="CY110" s="80"/>
      <c r="CZ110" s="81"/>
      <c r="DA110" s="81"/>
      <c r="DB110" s="81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3"/>
      <c r="DQ110" s="80"/>
      <c r="DR110" s="81"/>
      <c r="DS110" s="81"/>
      <c r="DT110" s="81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3"/>
      <c r="EI110" s="80"/>
      <c r="EJ110" s="81"/>
      <c r="EK110" s="81"/>
      <c r="EL110" s="81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3"/>
    </row>
    <row r="111" spans="1:156">
      <c r="A111" s="11"/>
      <c r="B111" s="103" t="s">
        <v>197</v>
      </c>
      <c r="C111" s="108" t="s">
        <v>198</v>
      </c>
      <c r="D111" s="104"/>
      <c r="E111" s="104"/>
      <c r="F111" s="116"/>
      <c r="G111" s="75">
        <f t="shared" si="51"/>
        <v>8623.2200000000012</v>
      </c>
      <c r="H111" s="76">
        <f t="shared" si="52"/>
        <v>8623.2200000000012</v>
      </c>
      <c r="I111" s="77">
        <f t="shared" si="52"/>
        <v>0</v>
      </c>
      <c r="J111" s="77">
        <f t="shared" si="52"/>
        <v>0</v>
      </c>
      <c r="K111" s="77">
        <f t="shared" si="52"/>
        <v>0</v>
      </c>
      <c r="L111" s="78">
        <f t="shared" si="52"/>
        <v>0</v>
      </c>
      <c r="M111" s="78">
        <f t="shared" si="52"/>
        <v>0</v>
      </c>
      <c r="N111" s="78">
        <f t="shared" si="52"/>
        <v>0</v>
      </c>
      <c r="O111" s="78">
        <f t="shared" si="52"/>
        <v>0</v>
      </c>
      <c r="P111" s="78">
        <f t="shared" si="52"/>
        <v>0</v>
      </c>
      <c r="Q111" s="78">
        <f t="shared" si="52"/>
        <v>0</v>
      </c>
      <c r="R111" s="78">
        <f t="shared" si="52"/>
        <v>0</v>
      </c>
      <c r="S111" s="78">
        <f t="shared" si="52"/>
        <v>0</v>
      </c>
      <c r="T111" s="78">
        <f t="shared" si="52"/>
        <v>0</v>
      </c>
      <c r="U111" s="78">
        <f t="shared" si="52"/>
        <v>0</v>
      </c>
      <c r="V111" s="78">
        <f t="shared" si="52"/>
        <v>0</v>
      </c>
      <c r="W111" s="78">
        <f t="shared" si="52"/>
        <v>0</v>
      </c>
      <c r="X111" s="78">
        <f t="shared" si="53"/>
        <v>0</v>
      </c>
      <c r="Y111" s="78">
        <f t="shared" si="53"/>
        <v>0</v>
      </c>
      <c r="Z111" s="79">
        <f>SIS064_F_Apsauginiaiird1Elektrosenergi5</f>
        <v>0</v>
      </c>
      <c r="AA111" s="79">
        <f>SUM(SIS062_F_Apsauginiaiird1Geriamojovande1,SIS063_F_Apsauginiaiird1Geriamojovande1,SIS065_F_Apsauginiaiird1Geriamojovande1)</f>
        <v>0</v>
      </c>
      <c r="AB111" s="79">
        <f>SUM(SIS062_F_Apsauginiaiird1Paslaugaproduk8,SIS063_F_Apsauginiaiird1Paslaugaproduk8,SIS065_F_Apsauginiaiird1Paslaugaproduk8)</f>
        <v>0</v>
      </c>
      <c r="AC111" s="79">
        <f>SIS064_F_Apsauginiaiird1Elektrosenergi6</f>
        <v>0</v>
      </c>
      <c r="AD111" s="79">
        <f>SUM(SIS062_F_Apsauginiaiird1Paslaugaproduk9,SIS063_F_Apsauginiaiird1Paslaugaproduk9,SIS065_F_Apsauginiaiird1Paslaugaproduk9)</f>
        <v>0</v>
      </c>
      <c r="AE111" s="80">
        <v>8623.2200000000012</v>
      </c>
      <c r="AF111" s="81">
        <v>0</v>
      </c>
      <c r="AG111" s="81">
        <v>0</v>
      </c>
      <c r="AH111" s="81">
        <v>0</v>
      </c>
      <c r="AI111" s="82">
        <v>0</v>
      </c>
      <c r="AJ111" s="82">
        <v>0</v>
      </c>
      <c r="AK111" s="82">
        <v>0</v>
      </c>
      <c r="AL111" s="82">
        <v>0</v>
      </c>
      <c r="AM111" s="82">
        <v>0</v>
      </c>
      <c r="AN111" s="82">
        <v>0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2">
        <v>0</v>
      </c>
      <c r="AU111" s="82">
        <v>0</v>
      </c>
      <c r="AV111" s="83">
        <v>0</v>
      </c>
      <c r="AW111" s="80"/>
      <c r="AX111" s="81"/>
      <c r="AY111" s="81"/>
      <c r="AZ111" s="81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3"/>
      <c r="BO111" s="80"/>
      <c r="BP111" s="81"/>
      <c r="BQ111" s="81"/>
      <c r="BR111" s="81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3"/>
      <c r="CG111" s="80"/>
      <c r="CH111" s="81"/>
      <c r="CI111" s="81"/>
      <c r="CJ111" s="81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3"/>
      <c r="CY111" s="80"/>
      <c r="CZ111" s="81"/>
      <c r="DA111" s="81"/>
      <c r="DB111" s="81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3"/>
      <c r="DQ111" s="80"/>
      <c r="DR111" s="81"/>
      <c r="DS111" s="81"/>
      <c r="DT111" s="81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3"/>
      <c r="EI111" s="80"/>
      <c r="EJ111" s="81"/>
      <c r="EK111" s="81"/>
      <c r="EL111" s="81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3"/>
    </row>
    <row r="112" spans="1:156">
      <c r="A112" s="11"/>
      <c r="B112" s="103" t="s">
        <v>199</v>
      </c>
      <c r="C112" s="108" t="s">
        <v>200</v>
      </c>
      <c r="D112" s="104"/>
      <c r="E112" s="104"/>
      <c r="F112" s="116"/>
      <c r="G112" s="75">
        <f t="shared" si="51"/>
        <v>300.70999999999998</v>
      </c>
      <c r="H112" s="76">
        <f t="shared" si="52"/>
        <v>181.96770491406187</v>
      </c>
      <c r="I112" s="77">
        <f t="shared" si="52"/>
        <v>0</v>
      </c>
      <c r="J112" s="77">
        <f t="shared" si="52"/>
        <v>8.1468027589334122E-7</v>
      </c>
      <c r="K112" s="77">
        <f t="shared" si="52"/>
        <v>0</v>
      </c>
      <c r="L112" s="78">
        <f t="shared" si="52"/>
        <v>0</v>
      </c>
      <c r="M112" s="78">
        <f t="shared" si="52"/>
        <v>78.264151326037123</v>
      </c>
      <c r="N112" s="78">
        <f t="shared" si="52"/>
        <v>0</v>
      </c>
      <c r="O112" s="78">
        <f t="shared" si="52"/>
        <v>0</v>
      </c>
      <c r="P112" s="78">
        <f t="shared" si="52"/>
        <v>9.7557507880193413</v>
      </c>
      <c r="Q112" s="78">
        <f t="shared" si="52"/>
        <v>5.0493081557542467</v>
      </c>
      <c r="R112" s="78">
        <f t="shared" si="52"/>
        <v>0</v>
      </c>
      <c r="S112" s="78">
        <f t="shared" si="52"/>
        <v>0.35607287566374168</v>
      </c>
      <c r="T112" s="78">
        <f t="shared" si="52"/>
        <v>0</v>
      </c>
      <c r="U112" s="78">
        <f t="shared" si="52"/>
        <v>0</v>
      </c>
      <c r="V112" s="78">
        <f t="shared" si="52"/>
        <v>0</v>
      </c>
      <c r="W112" s="78">
        <f t="shared" si="52"/>
        <v>0</v>
      </c>
      <c r="X112" s="78">
        <f t="shared" si="53"/>
        <v>0</v>
      </c>
      <c r="Y112" s="78">
        <f t="shared" si="53"/>
        <v>0</v>
      </c>
      <c r="Z112" s="79">
        <f>SIS064_F_Kelionessanaud1Elektrosenergi5</f>
        <v>0</v>
      </c>
      <c r="AA112" s="79">
        <f>SUM(SIS062_F_Kelionessanaud1Geriamojovande1,SIS063_F_Kelionessanaud1Geriamojovande1,SIS065_F_Kelionessanaud1Geriamojovande1)</f>
        <v>0</v>
      </c>
      <c r="AB112" s="79">
        <f>SUM(SIS062_F_Kelionessanaud1Paslaugaproduk8,SIS063_F_Kelionessanaud1Paslaugaproduk8,SIS065_F_Kelionessanaud1Paslaugaproduk8)</f>
        <v>0</v>
      </c>
      <c r="AC112" s="79">
        <f>SIS064_F_Kelionessanaud1Elektrosenergi6</f>
        <v>0</v>
      </c>
      <c r="AD112" s="79">
        <f>SUM(SIS062_F_Kelionessanaud1Paslaugaproduk9,SIS063_F_Kelionessanaud1Paslaugaproduk9,SIS065_F_Kelionessanaud1Paslaugaproduk9)</f>
        <v>25.317011125783402</v>
      </c>
      <c r="AE112" s="80">
        <v>181.96770491406187</v>
      </c>
      <c r="AF112" s="81">
        <v>0</v>
      </c>
      <c r="AG112" s="81">
        <v>8.1468027589334122E-7</v>
      </c>
      <c r="AH112" s="81">
        <v>0</v>
      </c>
      <c r="AI112" s="82">
        <v>0</v>
      </c>
      <c r="AJ112" s="82">
        <v>78.264151326037123</v>
      </c>
      <c r="AK112" s="82">
        <v>0</v>
      </c>
      <c r="AL112" s="82">
        <v>0</v>
      </c>
      <c r="AM112" s="82">
        <v>9.7557507880193413</v>
      </c>
      <c r="AN112" s="82">
        <v>5.0493081557542467</v>
      </c>
      <c r="AO112" s="82">
        <v>0</v>
      </c>
      <c r="AP112" s="82">
        <v>0.35607287566374168</v>
      </c>
      <c r="AQ112" s="82">
        <v>0</v>
      </c>
      <c r="AR112" s="82">
        <v>0</v>
      </c>
      <c r="AS112" s="82">
        <v>0</v>
      </c>
      <c r="AT112" s="82">
        <v>0</v>
      </c>
      <c r="AU112" s="82">
        <v>0</v>
      </c>
      <c r="AV112" s="83">
        <v>0</v>
      </c>
      <c r="AW112" s="80"/>
      <c r="AX112" s="81"/>
      <c r="AY112" s="81"/>
      <c r="AZ112" s="81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3"/>
      <c r="BO112" s="80"/>
      <c r="BP112" s="81"/>
      <c r="BQ112" s="81"/>
      <c r="BR112" s="81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3"/>
      <c r="CG112" s="80"/>
      <c r="CH112" s="81"/>
      <c r="CI112" s="81"/>
      <c r="CJ112" s="81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3"/>
      <c r="CY112" s="80"/>
      <c r="CZ112" s="81"/>
      <c r="DA112" s="81"/>
      <c r="DB112" s="81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3"/>
      <c r="DQ112" s="80"/>
      <c r="DR112" s="81"/>
      <c r="DS112" s="81"/>
      <c r="DT112" s="81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3"/>
      <c r="EI112" s="80"/>
      <c r="EJ112" s="81"/>
      <c r="EK112" s="81"/>
      <c r="EL112" s="81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3"/>
    </row>
    <row r="113" spans="1:156">
      <c r="A113" s="11"/>
      <c r="B113" s="103" t="s">
        <v>201</v>
      </c>
      <c r="C113" s="104" t="str">
        <f>SIS055_D_Kitossupersona1</f>
        <v>Kitos su personalu susijusios sąnaudos (nurodyti)</v>
      </c>
      <c r="D113" s="104"/>
      <c r="E113" s="104"/>
      <c r="F113" s="105"/>
      <c r="G113" s="75">
        <f t="shared" si="51"/>
        <v>0</v>
      </c>
      <c r="H113" s="76">
        <f t="shared" si="52"/>
        <v>0</v>
      </c>
      <c r="I113" s="77">
        <f t="shared" si="52"/>
        <v>0</v>
      </c>
      <c r="J113" s="77">
        <f t="shared" si="52"/>
        <v>0</v>
      </c>
      <c r="K113" s="77">
        <f t="shared" si="52"/>
        <v>0</v>
      </c>
      <c r="L113" s="78">
        <f t="shared" si="52"/>
        <v>0</v>
      </c>
      <c r="M113" s="78">
        <f t="shared" si="52"/>
        <v>0</v>
      </c>
      <c r="N113" s="78">
        <f t="shared" si="52"/>
        <v>0</v>
      </c>
      <c r="O113" s="78">
        <f t="shared" si="52"/>
        <v>0</v>
      </c>
      <c r="P113" s="78">
        <f t="shared" si="52"/>
        <v>0</v>
      </c>
      <c r="Q113" s="78">
        <f t="shared" si="52"/>
        <v>0</v>
      </c>
      <c r="R113" s="78">
        <f t="shared" si="52"/>
        <v>0</v>
      </c>
      <c r="S113" s="78">
        <f t="shared" si="52"/>
        <v>0</v>
      </c>
      <c r="T113" s="78">
        <f t="shared" si="52"/>
        <v>0</v>
      </c>
      <c r="U113" s="78">
        <f t="shared" si="52"/>
        <v>0</v>
      </c>
      <c r="V113" s="78">
        <f t="shared" si="52"/>
        <v>0</v>
      </c>
      <c r="W113" s="78">
        <f t="shared" si="52"/>
        <v>0</v>
      </c>
      <c r="X113" s="78">
        <f t="shared" si="53"/>
        <v>0</v>
      </c>
      <c r="Y113" s="78">
        <f t="shared" si="53"/>
        <v>0</v>
      </c>
      <c r="Z113" s="79">
        <f>SIS064_F_Kitossupersona1Elektrosenergi5</f>
        <v>0</v>
      </c>
      <c r="AA113" s="79">
        <f>SUM(SIS062_F_Kitossupersona1Geriamojovande1,SIS063_F_Kitossupersona1Geriamojovande1,SIS065_F_Kitossupersona1Geriamojovande1)</f>
        <v>0</v>
      </c>
      <c r="AB113" s="79">
        <f>SUM(SIS062_F_Kitossupersona1Paslaugaproduk8,SIS063_F_Kitossupersona1Paslaugaproduk8,SIS065_F_Kitossupersona1Paslaugaproduk8)</f>
        <v>0</v>
      </c>
      <c r="AC113" s="79">
        <f>SIS064_F_Kitossupersona1Elektrosenergi6</f>
        <v>0</v>
      </c>
      <c r="AD113" s="79">
        <f>SUM(SIS062_F_Kitossupersona1Paslaugaproduk9,SIS063_F_Kitossupersona1Paslaugaproduk9,SIS065_F_Kitossupersona1Paslaugaproduk9)</f>
        <v>0</v>
      </c>
      <c r="AE113" s="80">
        <v>0</v>
      </c>
      <c r="AF113" s="81">
        <v>0</v>
      </c>
      <c r="AG113" s="81">
        <v>0</v>
      </c>
      <c r="AH113" s="81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0</v>
      </c>
      <c r="AO113" s="82">
        <v>0</v>
      </c>
      <c r="AP113" s="82">
        <v>0</v>
      </c>
      <c r="AQ113" s="82">
        <v>0</v>
      </c>
      <c r="AR113" s="82">
        <v>0</v>
      </c>
      <c r="AS113" s="82">
        <v>0</v>
      </c>
      <c r="AT113" s="82">
        <v>0</v>
      </c>
      <c r="AU113" s="82">
        <v>0</v>
      </c>
      <c r="AV113" s="83">
        <v>0</v>
      </c>
      <c r="AW113" s="80"/>
      <c r="AX113" s="81"/>
      <c r="AY113" s="81"/>
      <c r="AZ113" s="81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3"/>
      <c r="BO113" s="80"/>
      <c r="BP113" s="81"/>
      <c r="BQ113" s="81"/>
      <c r="BR113" s="81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3"/>
      <c r="CG113" s="80"/>
      <c r="CH113" s="81"/>
      <c r="CI113" s="81"/>
      <c r="CJ113" s="81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3"/>
      <c r="CY113" s="80"/>
      <c r="CZ113" s="81"/>
      <c r="DA113" s="81"/>
      <c r="DB113" s="81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3"/>
      <c r="DQ113" s="80"/>
      <c r="DR113" s="81"/>
      <c r="DS113" s="81"/>
      <c r="DT113" s="81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3"/>
      <c r="EI113" s="80"/>
      <c r="EJ113" s="81"/>
      <c r="EK113" s="81"/>
      <c r="EL113" s="81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3"/>
    </row>
    <row r="114" spans="1:156">
      <c r="A114" s="11"/>
      <c r="B114" s="103" t="s">
        <v>202</v>
      </c>
      <c r="C114" s="104" t="str">
        <f>SIS055_D_Kitossupersona2</f>
        <v>Kitos su personalu susijusios sąnaudos (nurodyti)</v>
      </c>
      <c r="D114" s="104"/>
      <c r="E114" s="104"/>
      <c r="F114" s="105"/>
      <c r="G114" s="75">
        <f t="shared" si="51"/>
        <v>0</v>
      </c>
      <c r="H114" s="76">
        <f t="shared" si="52"/>
        <v>0</v>
      </c>
      <c r="I114" s="77">
        <f t="shared" si="52"/>
        <v>0</v>
      </c>
      <c r="J114" s="77">
        <f t="shared" si="52"/>
        <v>0</v>
      </c>
      <c r="K114" s="77">
        <f t="shared" si="52"/>
        <v>0</v>
      </c>
      <c r="L114" s="78">
        <f t="shared" si="52"/>
        <v>0</v>
      </c>
      <c r="M114" s="78">
        <f t="shared" si="52"/>
        <v>0</v>
      </c>
      <c r="N114" s="78">
        <f t="shared" si="52"/>
        <v>0</v>
      </c>
      <c r="O114" s="78">
        <f t="shared" si="52"/>
        <v>0</v>
      </c>
      <c r="P114" s="78">
        <f t="shared" si="52"/>
        <v>0</v>
      </c>
      <c r="Q114" s="78">
        <f t="shared" si="52"/>
        <v>0</v>
      </c>
      <c r="R114" s="78">
        <f t="shared" si="52"/>
        <v>0</v>
      </c>
      <c r="S114" s="78">
        <f t="shared" si="52"/>
        <v>0</v>
      </c>
      <c r="T114" s="78">
        <f t="shared" si="52"/>
        <v>0</v>
      </c>
      <c r="U114" s="78">
        <f t="shared" si="52"/>
        <v>0</v>
      </c>
      <c r="V114" s="78">
        <f t="shared" si="52"/>
        <v>0</v>
      </c>
      <c r="W114" s="78">
        <f t="shared" si="52"/>
        <v>0</v>
      </c>
      <c r="X114" s="78">
        <f t="shared" si="53"/>
        <v>0</v>
      </c>
      <c r="Y114" s="78">
        <f t="shared" si="53"/>
        <v>0</v>
      </c>
      <c r="Z114" s="79">
        <f>SIS064_F_Kitossupersona2Elektrosenergi5</f>
        <v>0</v>
      </c>
      <c r="AA114" s="79">
        <f>SUM(SIS062_F_Kitossupersona2Geriamojovande1,SIS063_F_Kitossupersona2Geriamojovande1,SIS065_F_Kitossupersona2Geriamojovande1)</f>
        <v>0</v>
      </c>
      <c r="AB114" s="79">
        <f>SUM(SIS062_F_Kitossupersona2Paslaugaproduk8,SIS063_F_Kitossupersona2Paslaugaproduk8,SIS065_F_Kitossupersona2Paslaugaproduk8)</f>
        <v>0</v>
      </c>
      <c r="AC114" s="79">
        <f>SIS064_F_Kitossupersona2Elektrosenergi6</f>
        <v>0</v>
      </c>
      <c r="AD114" s="79">
        <f>SUM(SIS062_F_Kitossupersona2Paslaugaproduk9,SIS063_F_Kitossupersona2Paslaugaproduk9,SIS065_F_Kitossupersona2Paslaugaproduk9)</f>
        <v>0</v>
      </c>
      <c r="AE114" s="80">
        <v>0</v>
      </c>
      <c r="AF114" s="81">
        <v>0</v>
      </c>
      <c r="AG114" s="81">
        <v>0</v>
      </c>
      <c r="AH114" s="81">
        <v>0</v>
      </c>
      <c r="AI114" s="82">
        <v>0</v>
      </c>
      <c r="AJ114" s="82">
        <v>0</v>
      </c>
      <c r="AK114" s="82">
        <v>0</v>
      </c>
      <c r="AL114" s="82">
        <v>0</v>
      </c>
      <c r="AM114" s="82">
        <v>0</v>
      </c>
      <c r="AN114" s="82">
        <v>0</v>
      </c>
      <c r="AO114" s="82">
        <v>0</v>
      </c>
      <c r="AP114" s="82">
        <v>0</v>
      </c>
      <c r="AQ114" s="82">
        <v>0</v>
      </c>
      <c r="AR114" s="82">
        <v>0</v>
      </c>
      <c r="AS114" s="82">
        <v>0</v>
      </c>
      <c r="AT114" s="82">
        <v>0</v>
      </c>
      <c r="AU114" s="82">
        <v>0</v>
      </c>
      <c r="AV114" s="83">
        <v>0</v>
      </c>
      <c r="AW114" s="80"/>
      <c r="AX114" s="81"/>
      <c r="AY114" s="81"/>
      <c r="AZ114" s="81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3"/>
      <c r="BO114" s="80"/>
      <c r="BP114" s="81"/>
      <c r="BQ114" s="81"/>
      <c r="BR114" s="81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3"/>
      <c r="CG114" s="80"/>
      <c r="CH114" s="81"/>
      <c r="CI114" s="81"/>
      <c r="CJ114" s="81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3"/>
      <c r="CY114" s="80"/>
      <c r="CZ114" s="81"/>
      <c r="DA114" s="81"/>
      <c r="DB114" s="81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3"/>
      <c r="DQ114" s="80"/>
      <c r="DR114" s="81"/>
      <c r="DS114" s="81"/>
      <c r="DT114" s="81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3"/>
      <c r="EI114" s="80"/>
      <c r="EJ114" s="81"/>
      <c r="EK114" s="81"/>
      <c r="EL114" s="81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3"/>
    </row>
    <row r="115" spans="1:156">
      <c r="A115" s="11"/>
      <c r="B115" s="103" t="s">
        <v>203</v>
      </c>
      <c r="C115" s="104" t="str">
        <f>SIS055_D_Kitossupersona3</f>
        <v>Kitos su personalu susijusios sąnaudos (nurodyti)</v>
      </c>
      <c r="D115" s="104"/>
      <c r="E115" s="104"/>
      <c r="F115" s="105"/>
      <c r="G115" s="75">
        <f t="shared" si="51"/>
        <v>0</v>
      </c>
      <c r="H115" s="76">
        <f t="shared" si="52"/>
        <v>0</v>
      </c>
      <c r="I115" s="77">
        <f t="shared" si="52"/>
        <v>0</v>
      </c>
      <c r="J115" s="77">
        <f t="shared" si="52"/>
        <v>0</v>
      </c>
      <c r="K115" s="77">
        <f t="shared" si="52"/>
        <v>0</v>
      </c>
      <c r="L115" s="78">
        <f t="shared" si="52"/>
        <v>0</v>
      </c>
      <c r="M115" s="78">
        <f t="shared" si="52"/>
        <v>0</v>
      </c>
      <c r="N115" s="78">
        <f t="shared" si="52"/>
        <v>0</v>
      </c>
      <c r="O115" s="78">
        <f t="shared" si="52"/>
        <v>0</v>
      </c>
      <c r="P115" s="78">
        <f t="shared" si="52"/>
        <v>0</v>
      </c>
      <c r="Q115" s="78">
        <f t="shared" si="52"/>
        <v>0</v>
      </c>
      <c r="R115" s="78">
        <f t="shared" si="52"/>
        <v>0</v>
      </c>
      <c r="S115" s="78">
        <f t="shared" si="52"/>
        <v>0</v>
      </c>
      <c r="T115" s="78">
        <f t="shared" si="52"/>
        <v>0</v>
      </c>
      <c r="U115" s="78">
        <f t="shared" si="52"/>
        <v>0</v>
      </c>
      <c r="V115" s="78">
        <f t="shared" si="52"/>
        <v>0</v>
      </c>
      <c r="W115" s="78">
        <f t="shared" si="52"/>
        <v>0</v>
      </c>
      <c r="X115" s="78">
        <f t="shared" si="53"/>
        <v>0</v>
      </c>
      <c r="Y115" s="78">
        <f t="shared" si="53"/>
        <v>0</v>
      </c>
      <c r="Z115" s="79">
        <f>SIS064_F_Kitossupersona3Elektrosenergi5</f>
        <v>0</v>
      </c>
      <c r="AA115" s="79">
        <f>SUM(SIS062_F_Kitossupersona3Geriamojovande1,SIS063_F_Kitossupersona3Geriamojovande1,SIS065_F_Kitossupersona3Geriamojovande1)</f>
        <v>0</v>
      </c>
      <c r="AB115" s="79">
        <f>SUM(SIS062_F_Kitossupersona3Paslaugaproduk8,SIS063_F_Kitossupersona3Paslaugaproduk8,SIS065_F_Kitossupersona3Paslaugaproduk8)</f>
        <v>0</v>
      </c>
      <c r="AC115" s="79">
        <f>SIS064_F_Kitossupersona3Elektrosenergi6</f>
        <v>0</v>
      </c>
      <c r="AD115" s="79">
        <f>SUM(SIS062_F_Kitossupersona3Paslaugaproduk9,SIS063_F_Kitossupersona3Paslaugaproduk9,SIS065_F_Kitossupersona3Paslaugaproduk9)</f>
        <v>0</v>
      </c>
      <c r="AE115" s="80">
        <v>0</v>
      </c>
      <c r="AF115" s="81">
        <v>0</v>
      </c>
      <c r="AG115" s="81">
        <v>0</v>
      </c>
      <c r="AH115" s="81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2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2">
        <v>0</v>
      </c>
      <c r="AU115" s="82">
        <v>0</v>
      </c>
      <c r="AV115" s="83">
        <v>0</v>
      </c>
      <c r="AW115" s="80"/>
      <c r="AX115" s="81"/>
      <c r="AY115" s="81"/>
      <c r="AZ115" s="81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3"/>
      <c r="BO115" s="80"/>
      <c r="BP115" s="81"/>
      <c r="BQ115" s="81"/>
      <c r="BR115" s="81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3"/>
      <c r="CG115" s="80"/>
      <c r="CH115" s="81"/>
      <c r="CI115" s="81"/>
      <c r="CJ115" s="81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3"/>
      <c r="CY115" s="80"/>
      <c r="CZ115" s="81"/>
      <c r="DA115" s="81"/>
      <c r="DB115" s="81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3"/>
      <c r="DQ115" s="80"/>
      <c r="DR115" s="81"/>
      <c r="DS115" s="81"/>
      <c r="DT115" s="81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3"/>
      <c r="EI115" s="80"/>
      <c r="EJ115" s="81"/>
      <c r="EK115" s="81"/>
      <c r="EL115" s="81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3"/>
    </row>
    <row r="116" spans="1:156">
      <c r="A116" s="11"/>
      <c r="B116" s="103" t="s">
        <v>204</v>
      </c>
      <c r="C116" s="104" t="str">
        <f>SIS055_D_Kitossupersona4</f>
        <v>Kitos su personalu susijusios sąnaudos (nurodyti)</v>
      </c>
      <c r="D116" s="104"/>
      <c r="E116" s="104"/>
      <c r="F116" s="105"/>
      <c r="G116" s="75">
        <f t="shared" si="51"/>
        <v>0</v>
      </c>
      <c r="H116" s="76">
        <f t="shared" si="52"/>
        <v>0</v>
      </c>
      <c r="I116" s="77">
        <f t="shared" si="52"/>
        <v>0</v>
      </c>
      <c r="J116" s="77">
        <f t="shared" si="52"/>
        <v>0</v>
      </c>
      <c r="K116" s="77">
        <f t="shared" si="52"/>
        <v>0</v>
      </c>
      <c r="L116" s="78">
        <f t="shared" si="52"/>
        <v>0</v>
      </c>
      <c r="M116" s="78">
        <f t="shared" si="52"/>
        <v>0</v>
      </c>
      <c r="N116" s="78">
        <f t="shared" si="52"/>
        <v>0</v>
      </c>
      <c r="O116" s="78">
        <f t="shared" si="52"/>
        <v>0</v>
      </c>
      <c r="P116" s="78">
        <f t="shared" si="52"/>
        <v>0</v>
      </c>
      <c r="Q116" s="78">
        <f t="shared" si="52"/>
        <v>0</v>
      </c>
      <c r="R116" s="78">
        <f t="shared" si="52"/>
        <v>0</v>
      </c>
      <c r="S116" s="78">
        <f t="shared" si="52"/>
        <v>0</v>
      </c>
      <c r="T116" s="78">
        <f t="shared" si="52"/>
        <v>0</v>
      </c>
      <c r="U116" s="78">
        <f t="shared" si="52"/>
        <v>0</v>
      </c>
      <c r="V116" s="78">
        <f t="shared" si="52"/>
        <v>0</v>
      </c>
      <c r="W116" s="78">
        <f t="shared" si="52"/>
        <v>0</v>
      </c>
      <c r="X116" s="78">
        <f t="shared" si="53"/>
        <v>0</v>
      </c>
      <c r="Y116" s="78">
        <f t="shared" si="53"/>
        <v>0</v>
      </c>
      <c r="Z116" s="79">
        <f>SIS064_F_Kitossupersona4Elektrosenergi5</f>
        <v>0</v>
      </c>
      <c r="AA116" s="79">
        <f>SUM(SIS062_F_Kitossupersona4Geriamojovande1,SIS063_F_Kitossupersona4Geriamojovande1,SIS065_F_Kitossupersona4Geriamojovande1)</f>
        <v>0</v>
      </c>
      <c r="AB116" s="79">
        <f>SUM(SIS062_F_Kitossupersona4Paslaugaproduk8,SIS063_F_Kitossupersona4Paslaugaproduk8,SIS065_F_Kitossupersona4Paslaugaproduk8)</f>
        <v>0</v>
      </c>
      <c r="AC116" s="79">
        <f>SIS064_F_Kitossupersona4Elektrosenergi6</f>
        <v>0</v>
      </c>
      <c r="AD116" s="79">
        <f>SUM(SIS062_F_Kitossupersona4Paslaugaproduk9,SIS063_F_Kitossupersona4Paslaugaproduk9,SIS065_F_Kitossupersona4Paslaugaproduk9)</f>
        <v>0</v>
      </c>
      <c r="AE116" s="80">
        <v>0</v>
      </c>
      <c r="AF116" s="81">
        <v>0</v>
      </c>
      <c r="AG116" s="81">
        <v>0</v>
      </c>
      <c r="AH116" s="81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2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2">
        <v>0</v>
      </c>
      <c r="AU116" s="82">
        <v>0</v>
      </c>
      <c r="AV116" s="83">
        <v>0</v>
      </c>
      <c r="AW116" s="80"/>
      <c r="AX116" s="81"/>
      <c r="AY116" s="81"/>
      <c r="AZ116" s="81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3"/>
      <c r="BO116" s="80"/>
      <c r="BP116" s="81"/>
      <c r="BQ116" s="81"/>
      <c r="BR116" s="81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3"/>
      <c r="CG116" s="80"/>
      <c r="CH116" s="81"/>
      <c r="CI116" s="81"/>
      <c r="CJ116" s="81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3"/>
      <c r="CY116" s="80"/>
      <c r="CZ116" s="81"/>
      <c r="DA116" s="81"/>
      <c r="DB116" s="81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3"/>
      <c r="DQ116" s="80"/>
      <c r="DR116" s="81"/>
      <c r="DS116" s="81"/>
      <c r="DT116" s="81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3"/>
      <c r="EI116" s="80"/>
      <c r="EJ116" s="81"/>
      <c r="EK116" s="81"/>
      <c r="EL116" s="81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3"/>
    </row>
    <row r="117" spans="1:156">
      <c r="A117" s="11"/>
      <c r="B117" s="84" t="s">
        <v>205</v>
      </c>
      <c r="C117" s="109" t="s">
        <v>206</v>
      </c>
      <c r="D117" s="110"/>
      <c r="E117" s="110"/>
      <c r="F117" s="111"/>
      <c r="G117" s="101">
        <f t="shared" ref="G117:AD117" si="54">SUM(G118:G124)</f>
        <v>52844.569999999992</v>
      </c>
      <c r="H117" s="88">
        <f t="shared" si="54"/>
        <v>9212.2799999999988</v>
      </c>
      <c r="I117" s="89">
        <f t="shared" si="54"/>
        <v>0</v>
      </c>
      <c r="J117" s="89">
        <f t="shared" si="54"/>
        <v>0</v>
      </c>
      <c r="K117" s="89">
        <f t="shared" si="54"/>
        <v>0</v>
      </c>
      <c r="L117" s="90">
        <f t="shared" si="54"/>
        <v>0</v>
      </c>
      <c r="M117" s="90">
        <f t="shared" si="54"/>
        <v>34680.94</v>
      </c>
      <c r="N117" s="90">
        <f t="shared" si="54"/>
        <v>0</v>
      </c>
      <c r="O117" s="90">
        <f t="shared" si="54"/>
        <v>0</v>
      </c>
      <c r="P117" s="90">
        <f t="shared" si="54"/>
        <v>8448.6283477463458</v>
      </c>
      <c r="Q117" s="90">
        <f t="shared" si="54"/>
        <v>389.2509773099398</v>
      </c>
      <c r="R117" s="90">
        <f t="shared" si="54"/>
        <v>0</v>
      </c>
      <c r="S117" s="90">
        <f t="shared" si="54"/>
        <v>113.47067494371399</v>
      </c>
      <c r="T117" s="90">
        <f t="shared" si="54"/>
        <v>0</v>
      </c>
      <c r="U117" s="90">
        <f t="shared" si="54"/>
        <v>0</v>
      </c>
      <c r="V117" s="90">
        <f t="shared" si="54"/>
        <v>0</v>
      </c>
      <c r="W117" s="90">
        <f t="shared" si="54"/>
        <v>0</v>
      </c>
      <c r="X117" s="90">
        <f t="shared" si="54"/>
        <v>0</v>
      </c>
      <c r="Y117" s="90">
        <f t="shared" si="54"/>
        <v>0</v>
      </c>
      <c r="Z117" s="90">
        <f t="shared" si="54"/>
        <v>0</v>
      </c>
      <c r="AA117" s="90">
        <f t="shared" si="54"/>
        <v>0</v>
      </c>
      <c r="AB117" s="90">
        <f t="shared" si="54"/>
        <v>0</v>
      </c>
      <c r="AC117" s="90">
        <f t="shared" si="54"/>
        <v>0</v>
      </c>
      <c r="AD117" s="90">
        <f t="shared" si="54"/>
        <v>0</v>
      </c>
      <c r="AE117" s="88">
        <f t="shared" ref="AE117:CP117" si="55">SUM(AE118:AE124)</f>
        <v>9212.2799999999988</v>
      </c>
      <c r="AF117" s="89">
        <f t="shared" si="55"/>
        <v>0</v>
      </c>
      <c r="AG117" s="89">
        <f t="shared" si="55"/>
        <v>0</v>
      </c>
      <c r="AH117" s="89">
        <f t="shared" si="55"/>
        <v>0</v>
      </c>
      <c r="AI117" s="90">
        <f t="shared" si="55"/>
        <v>0</v>
      </c>
      <c r="AJ117" s="90">
        <f t="shared" si="55"/>
        <v>34680.94</v>
      </c>
      <c r="AK117" s="90">
        <f t="shared" si="55"/>
        <v>0</v>
      </c>
      <c r="AL117" s="90">
        <f t="shared" si="55"/>
        <v>0</v>
      </c>
      <c r="AM117" s="90">
        <f t="shared" si="55"/>
        <v>8448.6283477463458</v>
      </c>
      <c r="AN117" s="90">
        <f t="shared" si="55"/>
        <v>389.2509773099398</v>
      </c>
      <c r="AO117" s="90">
        <f t="shared" si="55"/>
        <v>0</v>
      </c>
      <c r="AP117" s="90">
        <f t="shared" si="55"/>
        <v>113.47067494371399</v>
      </c>
      <c r="AQ117" s="90">
        <f t="shared" si="55"/>
        <v>0</v>
      </c>
      <c r="AR117" s="90">
        <f t="shared" si="55"/>
        <v>0</v>
      </c>
      <c r="AS117" s="90">
        <f t="shared" si="55"/>
        <v>0</v>
      </c>
      <c r="AT117" s="90">
        <f t="shared" si="55"/>
        <v>0</v>
      </c>
      <c r="AU117" s="90">
        <f t="shared" si="55"/>
        <v>0</v>
      </c>
      <c r="AV117" s="91">
        <f t="shared" si="55"/>
        <v>0</v>
      </c>
      <c r="AW117" s="88">
        <f t="shared" si="55"/>
        <v>0</v>
      </c>
      <c r="AX117" s="89">
        <f t="shared" si="55"/>
        <v>0</v>
      </c>
      <c r="AY117" s="89">
        <f t="shared" si="55"/>
        <v>0</v>
      </c>
      <c r="AZ117" s="89">
        <f t="shared" si="55"/>
        <v>0</v>
      </c>
      <c r="BA117" s="90">
        <f t="shared" si="55"/>
        <v>0</v>
      </c>
      <c r="BB117" s="90">
        <f t="shared" si="55"/>
        <v>0</v>
      </c>
      <c r="BC117" s="90">
        <f t="shared" si="55"/>
        <v>0</v>
      </c>
      <c r="BD117" s="90">
        <f t="shared" si="55"/>
        <v>0</v>
      </c>
      <c r="BE117" s="90">
        <f t="shared" si="55"/>
        <v>0</v>
      </c>
      <c r="BF117" s="90">
        <f t="shared" si="55"/>
        <v>0</v>
      </c>
      <c r="BG117" s="90">
        <f t="shared" si="55"/>
        <v>0</v>
      </c>
      <c r="BH117" s="90">
        <f t="shared" si="55"/>
        <v>0</v>
      </c>
      <c r="BI117" s="90">
        <f t="shared" si="55"/>
        <v>0</v>
      </c>
      <c r="BJ117" s="90">
        <f t="shared" si="55"/>
        <v>0</v>
      </c>
      <c r="BK117" s="90">
        <f t="shared" si="55"/>
        <v>0</v>
      </c>
      <c r="BL117" s="90">
        <f t="shared" si="55"/>
        <v>0</v>
      </c>
      <c r="BM117" s="90">
        <f t="shared" si="55"/>
        <v>0</v>
      </c>
      <c r="BN117" s="91">
        <f t="shared" si="55"/>
        <v>0</v>
      </c>
      <c r="BO117" s="88">
        <f t="shared" si="55"/>
        <v>0</v>
      </c>
      <c r="BP117" s="89">
        <f t="shared" si="55"/>
        <v>0</v>
      </c>
      <c r="BQ117" s="89">
        <f t="shared" si="55"/>
        <v>0</v>
      </c>
      <c r="BR117" s="89">
        <f t="shared" si="55"/>
        <v>0</v>
      </c>
      <c r="BS117" s="90">
        <f t="shared" si="55"/>
        <v>0</v>
      </c>
      <c r="BT117" s="90">
        <f t="shared" si="55"/>
        <v>0</v>
      </c>
      <c r="BU117" s="90">
        <f t="shared" si="55"/>
        <v>0</v>
      </c>
      <c r="BV117" s="90">
        <f t="shared" si="55"/>
        <v>0</v>
      </c>
      <c r="BW117" s="90">
        <f t="shared" si="55"/>
        <v>0</v>
      </c>
      <c r="BX117" s="90">
        <f t="shared" si="55"/>
        <v>0</v>
      </c>
      <c r="BY117" s="90">
        <f t="shared" si="55"/>
        <v>0</v>
      </c>
      <c r="BZ117" s="90">
        <f t="shared" si="55"/>
        <v>0</v>
      </c>
      <c r="CA117" s="90">
        <f t="shared" si="55"/>
        <v>0</v>
      </c>
      <c r="CB117" s="90">
        <f t="shared" si="55"/>
        <v>0</v>
      </c>
      <c r="CC117" s="90">
        <f t="shared" si="55"/>
        <v>0</v>
      </c>
      <c r="CD117" s="90">
        <f t="shared" si="55"/>
        <v>0</v>
      </c>
      <c r="CE117" s="90">
        <f t="shared" si="55"/>
        <v>0</v>
      </c>
      <c r="CF117" s="91">
        <f t="shared" si="55"/>
        <v>0</v>
      </c>
      <c r="CG117" s="88">
        <f t="shared" si="55"/>
        <v>0</v>
      </c>
      <c r="CH117" s="89">
        <f t="shared" si="55"/>
        <v>0</v>
      </c>
      <c r="CI117" s="89">
        <f t="shared" si="55"/>
        <v>0</v>
      </c>
      <c r="CJ117" s="89">
        <f t="shared" si="55"/>
        <v>0</v>
      </c>
      <c r="CK117" s="90">
        <f t="shared" si="55"/>
        <v>0</v>
      </c>
      <c r="CL117" s="90">
        <f t="shared" si="55"/>
        <v>0</v>
      </c>
      <c r="CM117" s="90">
        <f t="shared" si="55"/>
        <v>0</v>
      </c>
      <c r="CN117" s="90">
        <f t="shared" si="55"/>
        <v>0</v>
      </c>
      <c r="CO117" s="90">
        <f t="shared" si="55"/>
        <v>0</v>
      </c>
      <c r="CP117" s="90">
        <f t="shared" si="55"/>
        <v>0</v>
      </c>
      <c r="CQ117" s="90">
        <f t="shared" ref="CQ117:EZ117" si="56">SUM(CQ118:CQ124)</f>
        <v>0</v>
      </c>
      <c r="CR117" s="90">
        <f t="shared" si="56"/>
        <v>0</v>
      </c>
      <c r="CS117" s="90">
        <f t="shared" si="56"/>
        <v>0</v>
      </c>
      <c r="CT117" s="90">
        <f t="shared" si="56"/>
        <v>0</v>
      </c>
      <c r="CU117" s="90">
        <f t="shared" si="56"/>
        <v>0</v>
      </c>
      <c r="CV117" s="90">
        <f t="shared" si="56"/>
        <v>0</v>
      </c>
      <c r="CW117" s="90">
        <f t="shared" si="56"/>
        <v>0</v>
      </c>
      <c r="CX117" s="91">
        <f t="shared" si="56"/>
        <v>0</v>
      </c>
      <c r="CY117" s="88">
        <f t="shared" si="56"/>
        <v>0</v>
      </c>
      <c r="CZ117" s="89">
        <f t="shared" si="56"/>
        <v>0</v>
      </c>
      <c r="DA117" s="89">
        <f t="shared" si="56"/>
        <v>0</v>
      </c>
      <c r="DB117" s="89">
        <f t="shared" si="56"/>
        <v>0</v>
      </c>
      <c r="DC117" s="90">
        <f t="shared" si="56"/>
        <v>0</v>
      </c>
      <c r="DD117" s="90">
        <f t="shared" si="56"/>
        <v>0</v>
      </c>
      <c r="DE117" s="90">
        <f t="shared" si="56"/>
        <v>0</v>
      </c>
      <c r="DF117" s="90">
        <f t="shared" si="56"/>
        <v>0</v>
      </c>
      <c r="DG117" s="90">
        <f t="shared" si="56"/>
        <v>0</v>
      </c>
      <c r="DH117" s="90">
        <f t="shared" si="56"/>
        <v>0</v>
      </c>
      <c r="DI117" s="90">
        <f t="shared" si="56"/>
        <v>0</v>
      </c>
      <c r="DJ117" s="90">
        <f t="shared" si="56"/>
        <v>0</v>
      </c>
      <c r="DK117" s="90">
        <f t="shared" si="56"/>
        <v>0</v>
      </c>
      <c r="DL117" s="90">
        <f t="shared" si="56"/>
        <v>0</v>
      </c>
      <c r="DM117" s="90">
        <f t="shared" si="56"/>
        <v>0</v>
      </c>
      <c r="DN117" s="90">
        <f t="shared" si="56"/>
        <v>0</v>
      </c>
      <c r="DO117" s="90">
        <f t="shared" si="56"/>
        <v>0</v>
      </c>
      <c r="DP117" s="91">
        <f t="shared" si="56"/>
        <v>0</v>
      </c>
      <c r="DQ117" s="88">
        <f t="shared" si="56"/>
        <v>0</v>
      </c>
      <c r="DR117" s="89">
        <f t="shared" si="56"/>
        <v>0</v>
      </c>
      <c r="DS117" s="89">
        <f t="shared" si="56"/>
        <v>0</v>
      </c>
      <c r="DT117" s="89">
        <f t="shared" si="56"/>
        <v>0</v>
      </c>
      <c r="DU117" s="90">
        <f t="shared" si="56"/>
        <v>0</v>
      </c>
      <c r="DV117" s="90">
        <f t="shared" si="56"/>
        <v>0</v>
      </c>
      <c r="DW117" s="90">
        <f t="shared" si="56"/>
        <v>0</v>
      </c>
      <c r="DX117" s="90">
        <f t="shared" si="56"/>
        <v>0</v>
      </c>
      <c r="DY117" s="90">
        <f t="shared" si="56"/>
        <v>0</v>
      </c>
      <c r="DZ117" s="90">
        <f t="shared" si="56"/>
        <v>0</v>
      </c>
      <c r="EA117" s="90">
        <f t="shared" si="56"/>
        <v>0</v>
      </c>
      <c r="EB117" s="90">
        <f t="shared" si="56"/>
        <v>0</v>
      </c>
      <c r="EC117" s="90">
        <f t="shared" si="56"/>
        <v>0</v>
      </c>
      <c r="ED117" s="90">
        <f t="shared" si="56"/>
        <v>0</v>
      </c>
      <c r="EE117" s="90">
        <f t="shared" si="56"/>
        <v>0</v>
      </c>
      <c r="EF117" s="90">
        <f t="shared" si="56"/>
        <v>0</v>
      </c>
      <c r="EG117" s="90">
        <f t="shared" si="56"/>
        <v>0</v>
      </c>
      <c r="EH117" s="91">
        <f t="shared" si="56"/>
        <v>0</v>
      </c>
      <c r="EI117" s="88">
        <f t="shared" si="56"/>
        <v>0</v>
      </c>
      <c r="EJ117" s="89">
        <f t="shared" si="56"/>
        <v>0</v>
      </c>
      <c r="EK117" s="89">
        <f t="shared" si="56"/>
        <v>0</v>
      </c>
      <c r="EL117" s="89">
        <f t="shared" si="56"/>
        <v>0</v>
      </c>
      <c r="EM117" s="90">
        <f t="shared" si="56"/>
        <v>0</v>
      </c>
      <c r="EN117" s="90">
        <f t="shared" si="56"/>
        <v>0</v>
      </c>
      <c r="EO117" s="90">
        <f t="shared" si="56"/>
        <v>0</v>
      </c>
      <c r="EP117" s="90">
        <f t="shared" si="56"/>
        <v>0</v>
      </c>
      <c r="EQ117" s="90">
        <f t="shared" si="56"/>
        <v>0</v>
      </c>
      <c r="ER117" s="90">
        <f t="shared" si="56"/>
        <v>0</v>
      </c>
      <c r="ES117" s="90">
        <f t="shared" si="56"/>
        <v>0</v>
      </c>
      <c r="ET117" s="90">
        <f t="shared" si="56"/>
        <v>0</v>
      </c>
      <c r="EU117" s="90">
        <f t="shared" si="56"/>
        <v>0</v>
      </c>
      <c r="EV117" s="90">
        <f t="shared" si="56"/>
        <v>0</v>
      </c>
      <c r="EW117" s="90">
        <f t="shared" si="56"/>
        <v>0</v>
      </c>
      <c r="EX117" s="90">
        <f t="shared" si="56"/>
        <v>0</v>
      </c>
      <c r="EY117" s="90">
        <f t="shared" si="56"/>
        <v>0</v>
      </c>
      <c r="EZ117" s="91">
        <f t="shared" si="56"/>
        <v>0</v>
      </c>
    </row>
    <row r="118" spans="1:156">
      <c r="A118" s="11"/>
      <c r="B118" s="71" t="s">
        <v>207</v>
      </c>
      <c r="C118" s="92" t="s">
        <v>208</v>
      </c>
      <c r="D118" s="93"/>
      <c r="E118" s="93"/>
      <c r="F118" s="94"/>
      <c r="G118" s="75">
        <f t="shared" ref="G118:G124" si="57">SUM(H118:AD118)</f>
        <v>1416.28</v>
      </c>
      <c r="H118" s="76">
        <f t="shared" ref="H118:W124" si="58">SUM(AE118,AW118,BO118,CG118,CY118,DQ118,EI118)</f>
        <v>1416.28</v>
      </c>
      <c r="I118" s="77">
        <f t="shared" si="58"/>
        <v>0</v>
      </c>
      <c r="J118" s="77">
        <f t="shared" si="58"/>
        <v>0</v>
      </c>
      <c r="K118" s="77">
        <f t="shared" si="58"/>
        <v>0</v>
      </c>
      <c r="L118" s="78">
        <f t="shared" si="58"/>
        <v>0</v>
      </c>
      <c r="M118" s="78">
        <f t="shared" si="58"/>
        <v>0</v>
      </c>
      <c r="N118" s="78">
        <f t="shared" si="58"/>
        <v>0</v>
      </c>
      <c r="O118" s="78">
        <f t="shared" si="58"/>
        <v>0</v>
      </c>
      <c r="P118" s="78">
        <f t="shared" si="58"/>
        <v>0</v>
      </c>
      <c r="Q118" s="78">
        <f t="shared" si="58"/>
        <v>0</v>
      </c>
      <c r="R118" s="78">
        <f t="shared" si="58"/>
        <v>0</v>
      </c>
      <c r="S118" s="78">
        <f t="shared" si="58"/>
        <v>0</v>
      </c>
      <c r="T118" s="78">
        <f t="shared" si="58"/>
        <v>0</v>
      </c>
      <c r="U118" s="78">
        <f t="shared" si="58"/>
        <v>0</v>
      </c>
      <c r="V118" s="78">
        <f t="shared" si="58"/>
        <v>0</v>
      </c>
      <c r="W118" s="78">
        <f t="shared" si="58"/>
        <v>0</v>
      </c>
      <c r="X118" s="78">
        <f t="shared" ref="R118:Y124" si="59">SUM(AU118,BM118,CE118,CW118,DO118,EG118,EY118)</f>
        <v>0</v>
      </c>
      <c r="Y118" s="78">
        <f t="shared" si="59"/>
        <v>0</v>
      </c>
      <c r="Z118" s="79">
        <f>SIS064_F_Zemesmokescios1Elektrosenergi5</f>
        <v>0</v>
      </c>
      <c r="AA118" s="79">
        <f>SUM(SIS062_F_Zemesmokescios1Geriamojovande1,SIS063_F_Zemesmokescios1Geriamojovande1,SIS065_F_Zemesmokescios1Geriamojovande1)</f>
        <v>0</v>
      </c>
      <c r="AB118" s="79">
        <f>SUM(SIS062_F_Zemesmokescios1Paslaugaproduk8,SIS063_F_Zemesmokescios1Paslaugaproduk8,SIS065_F_Zemesmokescios1Paslaugaproduk8)</f>
        <v>0</v>
      </c>
      <c r="AC118" s="79">
        <f>SIS064_F_Zemesmokescios1Elektrosenergi6</f>
        <v>0</v>
      </c>
      <c r="AD118" s="79">
        <f>SUM(SIS062_F_Zemesmokescios1Paslaugaproduk9,SIS063_F_Zemesmokescios1Paslaugaproduk9,SIS065_F_Zemesmokescios1Paslaugaproduk9)</f>
        <v>0</v>
      </c>
      <c r="AE118" s="80">
        <v>1416.28</v>
      </c>
      <c r="AF118" s="81">
        <v>0</v>
      </c>
      <c r="AG118" s="81">
        <v>0</v>
      </c>
      <c r="AH118" s="81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83">
        <v>0</v>
      </c>
      <c r="AW118" s="80"/>
      <c r="AX118" s="81"/>
      <c r="AY118" s="81"/>
      <c r="AZ118" s="81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3"/>
      <c r="BO118" s="80"/>
      <c r="BP118" s="81"/>
      <c r="BQ118" s="81"/>
      <c r="BR118" s="81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3"/>
      <c r="CG118" s="80"/>
      <c r="CH118" s="81"/>
      <c r="CI118" s="81"/>
      <c r="CJ118" s="81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3"/>
      <c r="CY118" s="80"/>
      <c r="CZ118" s="81"/>
      <c r="DA118" s="81"/>
      <c r="DB118" s="81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3"/>
      <c r="DQ118" s="80"/>
      <c r="DR118" s="81"/>
      <c r="DS118" s="81"/>
      <c r="DT118" s="81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3"/>
      <c r="EI118" s="80"/>
      <c r="EJ118" s="81"/>
      <c r="EK118" s="81"/>
      <c r="EL118" s="81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3"/>
    </row>
    <row r="119" spans="1:156">
      <c r="A119" s="11"/>
      <c r="B119" s="71" t="s">
        <v>209</v>
      </c>
      <c r="C119" s="92" t="s">
        <v>210</v>
      </c>
      <c r="D119" s="93"/>
      <c r="E119" s="93"/>
      <c r="F119" s="94"/>
      <c r="G119" s="75">
        <f t="shared" si="57"/>
        <v>22059</v>
      </c>
      <c r="H119" s="76">
        <f t="shared" si="58"/>
        <v>5574</v>
      </c>
      <c r="I119" s="77">
        <f t="shared" si="58"/>
        <v>0</v>
      </c>
      <c r="J119" s="77">
        <f t="shared" si="58"/>
        <v>0</v>
      </c>
      <c r="K119" s="77">
        <f t="shared" si="58"/>
        <v>0</v>
      </c>
      <c r="L119" s="78">
        <f t="shared" si="58"/>
        <v>0</v>
      </c>
      <c r="M119" s="78">
        <f t="shared" si="58"/>
        <v>16485</v>
      </c>
      <c r="N119" s="78">
        <f t="shared" si="58"/>
        <v>0</v>
      </c>
      <c r="O119" s="78">
        <f t="shared" si="58"/>
        <v>0</v>
      </c>
      <c r="P119" s="78">
        <f t="shared" si="58"/>
        <v>0</v>
      </c>
      <c r="Q119" s="78">
        <f t="shared" si="58"/>
        <v>0</v>
      </c>
      <c r="R119" s="78">
        <f t="shared" si="59"/>
        <v>0</v>
      </c>
      <c r="S119" s="78">
        <f t="shared" si="59"/>
        <v>0</v>
      </c>
      <c r="T119" s="78">
        <f t="shared" si="59"/>
        <v>0</v>
      </c>
      <c r="U119" s="78">
        <f t="shared" si="59"/>
        <v>0</v>
      </c>
      <c r="V119" s="78">
        <f t="shared" si="59"/>
        <v>0</v>
      </c>
      <c r="W119" s="78">
        <f t="shared" si="59"/>
        <v>0</v>
      </c>
      <c r="X119" s="78">
        <f t="shared" si="59"/>
        <v>0</v>
      </c>
      <c r="Y119" s="78">
        <f t="shared" si="59"/>
        <v>0</v>
      </c>
      <c r="Z119" s="79">
        <f>SIS064_F_Nekilnojamotur1Elektrosenergi5</f>
        <v>0</v>
      </c>
      <c r="AA119" s="79">
        <f>SUM(SIS062_F_Nekilnojamotur1Geriamojovande1,SIS063_F_Nekilnojamotur1Geriamojovande1,SIS065_F_Nekilnojamotur1Geriamojovande1)</f>
        <v>0</v>
      </c>
      <c r="AB119" s="79">
        <f>SUM(SIS062_F_Nekilnojamotur1Paslaugaproduk8,SIS063_F_Nekilnojamotur1Paslaugaproduk8,SIS065_F_Nekilnojamotur1Paslaugaproduk8)</f>
        <v>0</v>
      </c>
      <c r="AC119" s="79">
        <f>SIS064_F_Nekilnojamotur1Elektrosenergi6</f>
        <v>0</v>
      </c>
      <c r="AD119" s="79">
        <f>SUM(SIS062_F_Nekilnojamotur1Paslaugaproduk9,SIS063_F_Nekilnojamotur1Paslaugaproduk9,SIS065_F_Nekilnojamotur1Paslaugaproduk9)</f>
        <v>0</v>
      </c>
      <c r="AE119" s="80">
        <v>5574</v>
      </c>
      <c r="AF119" s="81">
        <v>0</v>
      </c>
      <c r="AG119" s="81">
        <v>0</v>
      </c>
      <c r="AH119" s="81">
        <v>0</v>
      </c>
      <c r="AI119" s="82">
        <v>0</v>
      </c>
      <c r="AJ119" s="82">
        <v>16485</v>
      </c>
      <c r="AK119" s="82">
        <v>0</v>
      </c>
      <c r="AL119" s="82">
        <v>0</v>
      </c>
      <c r="AM119" s="82">
        <v>0</v>
      </c>
      <c r="AN119" s="82">
        <v>0</v>
      </c>
      <c r="AO119" s="82">
        <v>0</v>
      </c>
      <c r="AP119" s="82">
        <v>0</v>
      </c>
      <c r="AQ119" s="82">
        <v>0</v>
      </c>
      <c r="AR119" s="82">
        <v>0</v>
      </c>
      <c r="AS119" s="82">
        <v>0</v>
      </c>
      <c r="AT119" s="82">
        <v>0</v>
      </c>
      <c r="AU119" s="82">
        <v>0</v>
      </c>
      <c r="AV119" s="83">
        <v>0</v>
      </c>
      <c r="AW119" s="80"/>
      <c r="AX119" s="81"/>
      <c r="AY119" s="81"/>
      <c r="AZ119" s="81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3"/>
      <c r="BO119" s="80"/>
      <c r="BP119" s="81"/>
      <c r="BQ119" s="81"/>
      <c r="BR119" s="81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3"/>
      <c r="CG119" s="80"/>
      <c r="CH119" s="81"/>
      <c r="CI119" s="81"/>
      <c r="CJ119" s="81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3"/>
      <c r="CY119" s="80"/>
      <c r="CZ119" s="81"/>
      <c r="DA119" s="81"/>
      <c r="DB119" s="81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3"/>
      <c r="DQ119" s="80"/>
      <c r="DR119" s="81"/>
      <c r="DS119" s="81"/>
      <c r="DT119" s="81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3"/>
      <c r="EI119" s="80"/>
      <c r="EJ119" s="81"/>
      <c r="EK119" s="81"/>
      <c r="EL119" s="81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3"/>
    </row>
    <row r="120" spans="1:156">
      <c r="A120" s="11"/>
      <c r="B120" s="71" t="s">
        <v>211</v>
      </c>
      <c r="C120" s="92" t="s">
        <v>212</v>
      </c>
      <c r="D120" s="93"/>
      <c r="E120" s="93"/>
      <c r="F120" s="94"/>
      <c r="G120" s="75">
        <f t="shared" si="57"/>
        <v>1694</v>
      </c>
      <c r="H120" s="76">
        <f t="shared" si="58"/>
        <v>1694</v>
      </c>
      <c r="I120" s="77">
        <f t="shared" si="58"/>
        <v>0</v>
      </c>
      <c r="J120" s="77">
        <f t="shared" si="58"/>
        <v>0</v>
      </c>
      <c r="K120" s="77">
        <f t="shared" si="58"/>
        <v>0</v>
      </c>
      <c r="L120" s="78">
        <f t="shared" si="58"/>
        <v>0</v>
      </c>
      <c r="M120" s="78">
        <f t="shared" si="58"/>
        <v>0</v>
      </c>
      <c r="N120" s="78">
        <f t="shared" si="58"/>
        <v>0</v>
      </c>
      <c r="O120" s="78">
        <f t="shared" si="58"/>
        <v>0</v>
      </c>
      <c r="P120" s="78">
        <f t="shared" si="58"/>
        <v>0</v>
      </c>
      <c r="Q120" s="78">
        <f t="shared" si="58"/>
        <v>0</v>
      </c>
      <c r="R120" s="78">
        <f t="shared" si="59"/>
        <v>0</v>
      </c>
      <c r="S120" s="78">
        <f t="shared" si="59"/>
        <v>0</v>
      </c>
      <c r="T120" s="78">
        <f t="shared" si="59"/>
        <v>0</v>
      </c>
      <c r="U120" s="78">
        <f t="shared" si="59"/>
        <v>0</v>
      </c>
      <c r="V120" s="78">
        <f t="shared" si="59"/>
        <v>0</v>
      </c>
      <c r="W120" s="78">
        <f t="shared" si="59"/>
        <v>0</v>
      </c>
      <c r="X120" s="78">
        <f t="shared" si="59"/>
        <v>0</v>
      </c>
      <c r="Y120" s="78">
        <f t="shared" si="59"/>
        <v>0</v>
      </c>
      <c r="Z120" s="79">
        <f>SIS064_F_Aplinkostarsos1Elektrosenergi5</f>
        <v>0</v>
      </c>
      <c r="AA120" s="79">
        <f>SUM(SIS062_F_Aplinkostarsos1Geriamojovande1,SIS063_F_Aplinkostarsos1Geriamojovande1,SIS065_F_Aplinkostarsos1Geriamojovande1)</f>
        <v>0</v>
      </c>
      <c r="AB120" s="79">
        <f>SUM(SIS062_F_Aplinkostarsos1Paslaugaproduk8,SIS063_F_Aplinkostarsos1Paslaugaproduk8,SIS065_F_Aplinkostarsos1Paslaugaproduk8)</f>
        <v>0</v>
      </c>
      <c r="AC120" s="79">
        <f>SIS064_F_Aplinkostarsos1Elektrosenergi6</f>
        <v>0</v>
      </c>
      <c r="AD120" s="79">
        <f>SUM(SIS062_F_Aplinkostarsos1Paslaugaproduk9,SIS063_F_Aplinkostarsos1Paslaugaproduk9,SIS065_F_Aplinkostarsos1Paslaugaproduk9)</f>
        <v>0</v>
      </c>
      <c r="AE120" s="80">
        <v>1694</v>
      </c>
      <c r="AF120" s="81">
        <v>0</v>
      </c>
      <c r="AG120" s="81">
        <v>0</v>
      </c>
      <c r="AH120" s="81">
        <v>0</v>
      </c>
      <c r="AI120" s="82">
        <v>0</v>
      </c>
      <c r="AJ120" s="82">
        <v>0</v>
      </c>
      <c r="AK120" s="82">
        <v>0</v>
      </c>
      <c r="AL120" s="82">
        <v>0</v>
      </c>
      <c r="AM120" s="82">
        <v>0</v>
      </c>
      <c r="AN120" s="82">
        <v>0</v>
      </c>
      <c r="AO120" s="82">
        <v>0</v>
      </c>
      <c r="AP120" s="82">
        <v>0</v>
      </c>
      <c r="AQ120" s="82">
        <v>0</v>
      </c>
      <c r="AR120" s="82">
        <v>0</v>
      </c>
      <c r="AS120" s="82">
        <v>0</v>
      </c>
      <c r="AT120" s="82">
        <v>0</v>
      </c>
      <c r="AU120" s="82">
        <v>0</v>
      </c>
      <c r="AV120" s="83">
        <v>0</v>
      </c>
      <c r="AW120" s="80"/>
      <c r="AX120" s="81"/>
      <c r="AY120" s="81"/>
      <c r="AZ120" s="81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3"/>
      <c r="BO120" s="80"/>
      <c r="BP120" s="81"/>
      <c r="BQ120" s="81"/>
      <c r="BR120" s="81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3"/>
      <c r="CG120" s="80"/>
      <c r="CH120" s="81"/>
      <c r="CI120" s="81"/>
      <c r="CJ120" s="81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3"/>
      <c r="CY120" s="80"/>
      <c r="CZ120" s="81"/>
      <c r="DA120" s="81"/>
      <c r="DB120" s="81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3"/>
      <c r="DQ120" s="80"/>
      <c r="DR120" s="81"/>
      <c r="DS120" s="81"/>
      <c r="DT120" s="81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3"/>
      <c r="EI120" s="80"/>
      <c r="EJ120" s="81"/>
      <c r="EK120" s="81"/>
      <c r="EL120" s="81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3"/>
    </row>
    <row r="121" spans="1:156">
      <c r="A121" s="11"/>
      <c r="B121" s="71" t="s">
        <v>213</v>
      </c>
      <c r="C121" s="92" t="s">
        <v>214</v>
      </c>
      <c r="D121" s="93"/>
      <c r="E121" s="93"/>
      <c r="F121" s="94"/>
      <c r="G121" s="75">
        <f t="shared" si="57"/>
        <v>528</v>
      </c>
      <c r="H121" s="76">
        <f t="shared" si="58"/>
        <v>528</v>
      </c>
      <c r="I121" s="77">
        <f t="shared" si="58"/>
        <v>0</v>
      </c>
      <c r="J121" s="77">
        <f t="shared" si="58"/>
        <v>0</v>
      </c>
      <c r="K121" s="77">
        <f t="shared" si="58"/>
        <v>0</v>
      </c>
      <c r="L121" s="78">
        <f t="shared" si="58"/>
        <v>0</v>
      </c>
      <c r="M121" s="78">
        <f t="shared" si="58"/>
        <v>0</v>
      </c>
      <c r="N121" s="78">
        <f t="shared" si="58"/>
        <v>0</v>
      </c>
      <c r="O121" s="78">
        <f t="shared" si="58"/>
        <v>0</v>
      </c>
      <c r="P121" s="78">
        <f t="shared" si="58"/>
        <v>0</v>
      </c>
      <c r="Q121" s="78">
        <f t="shared" si="58"/>
        <v>0</v>
      </c>
      <c r="R121" s="78">
        <f t="shared" si="59"/>
        <v>0</v>
      </c>
      <c r="S121" s="78">
        <f t="shared" si="59"/>
        <v>0</v>
      </c>
      <c r="T121" s="78">
        <f t="shared" si="59"/>
        <v>0</v>
      </c>
      <c r="U121" s="78">
        <f t="shared" si="59"/>
        <v>0</v>
      </c>
      <c r="V121" s="78">
        <f t="shared" si="59"/>
        <v>0</v>
      </c>
      <c r="W121" s="78">
        <f t="shared" si="59"/>
        <v>0</v>
      </c>
      <c r="X121" s="78">
        <f t="shared" si="59"/>
        <v>0</v>
      </c>
      <c r="Y121" s="78">
        <f t="shared" si="59"/>
        <v>0</v>
      </c>
      <c r="Z121" s="79">
        <f>SIS064_F_Valstybiniuist1Elektrosenergi5</f>
        <v>0</v>
      </c>
      <c r="AA121" s="79">
        <f>SUM(SIS062_F_Valstybiniuist1Geriamojovande1,SIS063_F_Valstybiniuist1Geriamojovande1,SIS065_F_Valstybiniuist1Geriamojovande1)</f>
        <v>0</v>
      </c>
      <c r="AB121" s="79">
        <f>SUM(SIS062_F_Valstybiniuist1Paslaugaproduk8,SIS063_F_Valstybiniuist1Paslaugaproduk8,SIS065_F_Valstybiniuist1Paslaugaproduk8)</f>
        <v>0</v>
      </c>
      <c r="AC121" s="79">
        <f>SIS064_F_Valstybiniuist1Elektrosenergi6</f>
        <v>0</v>
      </c>
      <c r="AD121" s="79">
        <f>SUM(SIS062_F_Valstybiniuist1Paslaugaproduk9,SIS063_F_Valstybiniuist1Paslaugaproduk9,SIS065_F_Valstybiniuist1Paslaugaproduk9)</f>
        <v>0</v>
      </c>
      <c r="AE121" s="80">
        <v>528</v>
      </c>
      <c r="AF121" s="81">
        <v>0</v>
      </c>
      <c r="AG121" s="81">
        <v>0</v>
      </c>
      <c r="AH121" s="81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2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2">
        <v>0</v>
      </c>
      <c r="AU121" s="82">
        <v>0</v>
      </c>
      <c r="AV121" s="83">
        <v>0</v>
      </c>
      <c r="AW121" s="80"/>
      <c r="AX121" s="81"/>
      <c r="AY121" s="81"/>
      <c r="AZ121" s="81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3"/>
      <c r="BO121" s="80"/>
      <c r="BP121" s="81"/>
      <c r="BQ121" s="81"/>
      <c r="BR121" s="81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3"/>
      <c r="CG121" s="80"/>
      <c r="CH121" s="81"/>
      <c r="CI121" s="81"/>
      <c r="CJ121" s="81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3"/>
      <c r="CY121" s="80"/>
      <c r="CZ121" s="81"/>
      <c r="DA121" s="81"/>
      <c r="DB121" s="81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3"/>
      <c r="DQ121" s="80"/>
      <c r="DR121" s="81"/>
      <c r="DS121" s="81"/>
      <c r="DT121" s="81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3"/>
      <c r="EI121" s="80"/>
      <c r="EJ121" s="81"/>
      <c r="EK121" s="81"/>
      <c r="EL121" s="81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3"/>
    </row>
    <row r="122" spans="1:156">
      <c r="A122" s="11"/>
      <c r="B122" s="71" t="s">
        <v>215</v>
      </c>
      <c r="C122" s="92" t="s">
        <v>216</v>
      </c>
      <c r="D122" s="93"/>
      <c r="E122" s="93"/>
      <c r="F122" s="94"/>
      <c r="G122" s="75">
        <f t="shared" si="57"/>
        <v>8951.3499999999985</v>
      </c>
      <c r="H122" s="76">
        <f t="shared" si="58"/>
        <v>0</v>
      </c>
      <c r="I122" s="77">
        <f t="shared" si="58"/>
        <v>0</v>
      </c>
      <c r="J122" s="77">
        <f t="shared" si="58"/>
        <v>0</v>
      </c>
      <c r="K122" s="77">
        <f t="shared" si="58"/>
        <v>0</v>
      </c>
      <c r="L122" s="78">
        <f t="shared" si="58"/>
        <v>0</v>
      </c>
      <c r="M122" s="78">
        <f t="shared" si="58"/>
        <v>0</v>
      </c>
      <c r="N122" s="78">
        <f t="shared" si="58"/>
        <v>0</v>
      </c>
      <c r="O122" s="78">
        <f t="shared" si="58"/>
        <v>0</v>
      </c>
      <c r="P122" s="78">
        <f t="shared" si="58"/>
        <v>8448.6283477463458</v>
      </c>
      <c r="Q122" s="78">
        <f t="shared" si="58"/>
        <v>389.2509773099398</v>
      </c>
      <c r="R122" s="78">
        <f t="shared" si="59"/>
        <v>0</v>
      </c>
      <c r="S122" s="78">
        <f t="shared" si="59"/>
        <v>113.47067494371399</v>
      </c>
      <c r="T122" s="78">
        <f t="shared" si="59"/>
        <v>0</v>
      </c>
      <c r="U122" s="78">
        <f t="shared" si="59"/>
        <v>0</v>
      </c>
      <c r="V122" s="78">
        <f t="shared" si="59"/>
        <v>0</v>
      </c>
      <c r="W122" s="78">
        <f t="shared" si="59"/>
        <v>0</v>
      </c>
      <c r="X122" s="78">
        <f t="shared" si="59"/>
        <v>0</v>
      </c>
      <c r="Y122" s="78">
        <f t="shared" si="59"/>
        <v>0</v>
      </c>
      <c r="Z122" s="79">
        <f>SIS064_F_Zyminiomokesci1Elektrosenergi5</f>
        <v>0</v>
      </c>
      <c r="AA122" s="79">
        <f>SUM(SIS062_F_Zyminiomokesci1Geriamojovande1,SIS063_F_Zyminiomokesci1Geriamojovande1,SIS065_F_Zyminiomokesci1Geriamojovande1)</f>
        <v>0</v>
      </c>
      <c r="AB122" s="79">
        <f>SUM(SIS062_F_Zyminiomokesci1Paslaugaproduk8,SIS063_F_Zyminiomokesci1Paslaugaproduk8,SIS065_F_Zyminiomokesci1Paslaugaproduk8)</f>
        <v>0</v>
      </c>
      <c r="AC122" s="79">
        <f>SIS064_F_Zyminiomokesci1Elektrosenergi6</f>
        <v>0</v>
      </c>
      <c r="AD122" s="79">
        <f>SUM(SIS062_F_Zyminiomokesci1Paslaugaproduk9,SIS063_F_Zyminiomokesci1Paslaugaproduk9,SIS065_F_Zyminiomokesci1Paslaugaproduk9)</f>
        <v>0</v>
      </c>
      <c r="AE122" s="80">
        <v>0</v>
      </c>
      <c r="AF122" s="81">
        <v>0</v>
      </c>
      <c r="AG122" s="81">
        <v>0</v>
      </c>
      <c r="AH122" s="81">
        <v>0</v>
      </c>
      <c r="AI122" s="82">
        <v>0</v>
      </c>
      <c r="AJ122" s="82">
        <v>0</v>
      </c>
      <c r="AK122" s="82">
        <v>0</v>
      </c>
      <c r="AL122" s="82">
        <v>0</v>
      </c>
      <c r="AM122" s="82">
        <v>8448.6283477463458</v>
      </c>
      <c r="AN122" s="82">
        <v>389.2509773099398</v>
      </c>
      <c r="AO122" s="82">
        <v>0</v>
      </c>
      <c r="AP122" s="82">
        <v>113.47067494371399</v>
      </c>
      <c r="AQ122" s="82">
        <v>0</v>
      </c>
      <c r="AR122" s="82">
        <v>0</v>
      </c>
      <c r="AS122" s="82">
        <v>0</v>
      </c>
      <c r="AT122" s="82">
        <v>0</v>
      </c>
      <c r="AU122" s="82">
        <v>0</v>
      </c>
      <c r="AV122" s="83">
        <v>0</v>
      </c>
      <c r="AW122" s="80"/>
      <c r="AX122" s="81"/>
      <c r="AY122" s="81"/>
      <c r="AZ122" s="81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3"/>
      <c r="BO122" s="80"/>
      <c r="BP122" s="81"/>
      <c r="BQ122" s="81"/>
      <c r="BR122" s="81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3"/>
      <c r="CG122" s="80"/>
      <c r="CH122" s="81"/>
      <c r="CI122" s="81"/>
      <c r="CJ122" s="81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3"/>
      <c r="CY122" s="80"/>
      <c r="CZ122" s="81"/>
      <c r="DA122" s="81"/>
      <c r="DB122" s="81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3"/>
      <c r="DQ122" s="80"/>
      <c r="DR122" s="81"/>
      <c r="DS122" s="81"/>
      <c r="DT122" s="81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3"/>
      <c r="EI122" s="80"/>
      <c r="EJ122" s="81"/>
      <c r="EK122" s="81"/>
      <c r="EL122" s="81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3"/>
    </row>
    <row r="123" spans="1:156">
      <c r="A123" s="11"/>
      <c r="B123" s="103" t="s">
        <v>217</v>
      </c>
      <c r="C123" s="108" t="s">
        <v>218</v>
      </c>
      <c r="D123" s="104"/>
      <c r="E123" s="104"/>
      <c r="F123" s="116"/>
      <c r="G123" s="75">
        <f t="shared" si="57"/>
        <v>18195.939999999999</v>
      </c>
      <c r="H123" s="76">
        <f t="shared" si="58"/>
        <v>0</v>
      </c>
      <c r="I123" s="77">
        <f t="shared" si="58"/>
        <v>0</v>
      </c>
      <c r="J123" s="77">
        <f t="shared" si="58"/>
        <v>0</v>
      </c>
      <c r="K123" s="77">
        <f t="shared" si="58"/>
        <v>0</v>
      </c>
      <c r="L123" s="78">
        <f t="shared" si="58"/>
        <v>0</v>
      </c>
      <c r="M123" s="78">
        <f t="shared" si="58"/>
        <v>18195.939999999999</v>
      </c>
      <c r="N123" s="78">
        <f t="shared" si="58"/>
        <v>0</v>
      </c>
      <c r="O123" s="78">
        <f t="shared" si="58"/>
        <v>0</v>
      </c>
      <c r="P123" s="78">
        <f t="shared" si="58"/>
        <v>0</v>
      </c>
      <c r="Q123" s="78">
        <f t="shared" si="58"/>
        <v>0</v>
      </c>
      <c r="R123" s="78">
        <f t="shared" si="59"/>
        <v>0</v>
      </c>
      <c r="S123" s="78">
        <f t="shared" si="59"/>
        <v>0</v>
      </c>
      <c r="T123" s="78">
        <f t="shared" si="59"/>
        <v>0</v>
      </c>
      <c r="U123" s="78">
        <f t="shared" si="59"/>
        <v>0</v>
      </c>
      <c r="V123" s="78">
        <f t="shared" si="59"/>
        <v>0</v>
      </c>
      <c r="W123" s="78">
        <f t="shared" si="59"/>
        <v>0</v>
      </c>
      <c r="X123" s="78">
        <f t="shared" si="59"/>
        <v>0</v>
      </c>
      <c r="Y123" s="78">
        <f t="shared" si="59"/>
        <v>0</v>
      </c>
      <c r="Z123" s="79">
        <f>SIS064_F_Energetikosist1Elektrosenergi5</f>
        <v>0</v>
      </c>
      <c r="AA123" s="79">
        <f>SUM(SIS062_F_Energetikosist1Geriamojovande1,SIS063_F_Energetikosist1Geriamojovande1,SIS065_F_Energetikosist1Geriamojovande1)</f>
        <v>0</v>
      </c>
      <c r="AB123" s="79">
        <f>SUM(SIS062_F_Energetikosist1Paslaugaproduk8,SIS063_F_Energetikosist1Paslaugaproduk8,SIS065_F_Energetikosist1Paslaugaproduk8)</f>
        <v>0</v>
      </c>
      <c r="AC123" s="79">
        <f>SIS064_F_Energetikosist1Elektrosenergi6</f>
        <v>0</v>
      </c>
      <c r="AD123" s="79">
        <f>SUM(SIS062_F_Energetikosist1Paslaugaproduk9,SIS063_F_Energetikosist1Paslaugaproduk9,SIS065_F_Energetikosist1Paslaugaproduk9)</f>
        <v>0</v>
      </c>
      <c r="AE123" s="80">
        <v>0</v>
      </c>
      <c r="AF123" s="81">
        <v>0</v>
      </c>
      <c r="AG123" s="81">
        <v>0</v>
      </c>
      <c r="AH123" s="81">
        <v>0</v>
      </c>
      <c r="AI123" s="82">
        <v>0</v>
      </c>
      <c r="AJ123" s="82">
        <v>18195.939999999999</v>
      </c>
      <c r="AK123" s="82">
        <v>0</v>
      </c>
      <c r="AL123" s="82">
        <v>0</v>
      </c>
      <c r="AM123" s="82">
        <v>0</v>
      </c>
      <c r="AN123" s="82">
        <v>0</v>
      </c>
      <c r="AO123" s="82">
        <v>0</v>
      </c>
      <c r="AP123" s="82">
        <v>0</v>
      </c>
      <c r="AQ123" s="82">
        <v>0</v>
      </c>
      <c r="AR123" s="82">
        <v>0</v>
      </c>
      <c r="AS123" s="82">
        <v>0</v>
      </c>
      <c r="AT123" s="82">
        <v>0</v>
      </c>
      <c r="AU123" s="82">
        <v>0</v>
      </c>
      <c r="AV123" s="83">
        <v>0</v>
      </c>
      <c r="AW123" s="80"/>
      <c r="AX123" s="81"/>
      <c r="AY123" s="81"/>
      <c r="AZ123" s="81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3"/>
      <c r="BO123" s="80"/>
      <c r="BP123" s="81"/>
      <c r="BQ123" s="81"/>
      <c r="BR123" s="81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3"/>
      <c r="CG123" s="80"/>
      <c r="CH123" s="81"/>
      <c r="CI123" s="81"/>
      <c r="CJ123" s="81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3"/>
      <c r="CY123" s="80"/>
      <c r="CZ123" s="81"/>
      <c r="DA123" s="81"/>
      <c r="DB123" s="81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3"/>
      <c r="DQ123" s="80"/>
      <c r="DR123" s="81"/>
      <c r="DS123" s="81"/>
      <c r="DT123" s="81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3"/>
      <c r="EI123" s="80"/>
      <c r="EJ123" s="81"/>
      <c r="EK123" s="81"/>
      <c r="EL123" s="81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3"/>
    </row>
    <row r="124" spans="1:156">
      <c r="A124" s="11"/>
      <c r="B124" s="103" t="s">
        <v>219</v>
      </c>
      <c r="C124" s="108" t="str">
        <f>SIS055_D_Kitumokesciuva1</f>
        <v>Kitų mokesčių valstybei sąnaudos (nurodyti)</v>
      </c>
      <c r="D124" s="104"/>
      <c r="E124" s="104"/>
      <c r="F124" s="116"/>
      <c r="G124" s="75">
        <f t="shared" si="57"/>
        <v>0</v>
      </c>
      <c r="H124" s="76">
        <f t="shared" si="58"/>
        <v>0</v>
      </c>
      <c r="I124" s="77">
        <f t="shared" si="58"/>
        <v>0</v>
      </c>
      <c r="J124" s="77">
        <f t="shared" si="58"/>
        <v>0</v>
      </c>
      <c r="K124" s="77">
        <f t="shared" si="58"/>
        <v>0</v>
      </c>
      <c r="L124" s="78">
        <f t="shared" si="58"/>
        <v>0</v>
      </c>
      <c r="M124" s="78">
        <f t="shared" si="58"/>
        <v>0</v>
      </c>
      <c r="N124" s="78">
        <f t="shared" si="58"/>
        <v>0</v>
      </c>
      <c r="O124" s="78">
        <f t="shared" si="58"/>
        <v>0</v>
      </c>
      <c r="P124" s="78">
        <f t="shared" si="58"/>
        <v>0</v>
      </c>
      <c r="Q124" s="78">
        <f t="shared" si="58"/>
        <v>0</v>
      </c>
      <c r="R124" s="78">
        <f t="shared" si="59"/>
        <v>0</v>
      </c>
      <c r="S124" s="78">
        <f t="shared" si="59"/>
        <v>0</v>
      </c>
      <c r="T124" s="78">
        <f t="shared" si="59"/>
        <v>0</v>
      </c>
      <c r="U124" s="78">
        <f t="shared" si="59"/>
        <v>0</v>
      </c>
      <c r="V124" s="78">
        <f t="shared" si="59"/>
        <v>0</v>
      </c>
      <c r="W124" s="78">
        <f t="shared" si="59"/>
        <v>0</v>
      </c>
      <c r="X124" s="78">
        <f t="shared" si="59"/>
        <v>0</v>
      </c>
      <c r="Y124" s="78">
        <f t="shared" si="59"/>
        <v>0</v>
      </c>
      <c r="Z124" s="79">
        <f>SIS064_F_Kitumokesciuva1Elektrosenergi5</f>
        <v>0</v>
      </c>
      <c r="AA124" s="79">
        <f>SUM(SIS062_F_Kitumokesciuva1Geriamojovande1,SIS063_F_Kitumokesciuva1Geriamojovande1,SIS065_F_Kitumokesciuva1Geriamojovande1)</f>
        <v>0</v>
      </c>
      <c r="AB124" s="79">
        <f>SUM(SIS062_F_Kitumokesciuva1Paslaugaproduk8,SIS063_F_Kitumokesciuva1Paslaugaproduk8,SIS065_F_Kitumokesciuva1Paslaugaproduk8)</f>
        <v>0</v>
      </c>
      <c r="AC124" s="79">
        <f>SIS064_F_Kitumokesciuva1Elektrosenergi6</f>
        <v>0</v>
      </c>
      <c r="AD124" s="79">
        <f>SUM(SIS062_F_Kitumokesciuva1Paslaugaproduk9,SIS063_F_Kitumokesciuva1Paslaugaproduk9,SIS065_F_Kitumokesciuva1Paslaugaproduk9)</f>
        <v>0</v>
      </c>
      <c r="AE124" s="80">
        <v>0</v>
      </c>
      <c r="AF124" s="81">
        <v>0</v>
      </c>
      <c r="AG124" s="81">
        <v>0</v>
      </c>
      <c r="AH124" s="81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2">
        <v>0</v>
      </c>
      <c r="AO124" s="82">
        <v>0</v>
      </c>
      <c r="AP124" s="82">
        <v>0</v>
      </c>
      <c r="AQ124" s="82">
        <v>0</v>
      </c>
      <c r="AR124" s="82">
        <v>0</v>
      </c>
      <c r="AS124" s="82">
        <v>0</v>
      </c>
      <c r="AT124" s="82">
        <v>0</v>
      </c>
      <c r="AU124" s="82">
        <v>0</v>
      </c>
      <c r="AV124" s="83">
        <v>0</v>
      </c>
      <c r="AW124" s="80"/>
      <c r="AX124" s="81"/>
      <c r="AY124" s="81"/>
      <c r="AZ124" s="81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3"/>
      <c r="BO124" s="80"/>
      <c r="BP124" s="81"/>
      <c r="BQ124" s="81"/>
      <c r="BR124" s="81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3"/>
      <c r="CG124" s="80"/>
      <c r="CH124" s="81"/>
      <c r="CI124" s="81"/>
      <c r="CJ124" s="81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3"/>
      <c r="CY124" s="80"/>
      <c r="CZ124" s="81"/>
      <c r="DA124" s="81"/>
      <c r="DB124" s="81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3"/>
      <c r="DQ124" s="80"/>
      <c r="DR124" s="81"/>
      <c r="DS124" s="81"/>
      <c r="DT124" s="81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3"/>
      <c r="EI124" s="80"/>
      <c r="EJ124" s="81"/>
      <c r="EK124" s="81"/>
      <c r="EL124" s="81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3"/>
    </row>
    <row r="125" spans="1:156">
      <c r="A125" s="11"/>
      <c r="B125" s="84" t="s">
        <v>220</v>
      </c>
      <c r="C125" s="109" t="s">
        <v>221</v>
      </c>
      <c r="D125" s="110"/>
      <c r="E125" s="110"/>
      <c r="F125" s="111"/>
      <c r="G125" s="101">
        <f t="shared" ref="G125:AD125" si="60">SUM(G126:G130)</f>
        <v>1822.91</v>
      </c>
      <c r="H125" s="88">
        <f t="shared" si="60"/>
        <v>1103.091845847802</v>
      </c>
      <c r="I125" s="89">
        <f t="shared" si="60"/>
        <v>0</v>
      </c>
      <c r="J125" s="89">
        <f t="shared" si="60"/>
        <v>4.9386080334166829E-6</v>
      </c>
      <c r="K125" s="89">
        <f t="shared" si="60"/>
        <v>0</v>
      </c>
      <c r="L125" s="90">
        <f t="shared" si="60"/>
        <v>0</v>
      </c>
      <c r="M125" s="90">
        <f t="shared" si="60"/>
        <v>474.43884172041618</v>
      </c>
      <c r="N125" s="90">
        <f t="shared" si="60"/>
        <v>0</v>
      </c>
      <c r="O125" s="90">
        <f t="shared" si="60"/>
        <v>0</v>
      </c>
      <c r="P125" s="90">
        <f t="shared" si="60"/>
        <v>59.139555282459305</v>
      </c>
      <c r="Q125" s="90">
        <f t="shared" si="60"/>
        <v>30.609006452083321</v>
      </c>
      <c r="R125" s="90">
        <f t="shared" si="60"/>
        <v>0</v>
      </c>
      <c r="S125" s="90">
        <f t="shared" si="60"/>
        <v>2.1585208532346494</v>
      </c>
      <c r="T125" s="90">
        <f t="shared" si="60"/>
        <v>0</v>
      </c>
      <c r="U125" s="90">
        <f t="shared" si="60"/>
        <v>0</v>
      </c>
      <c r="V125" s="90">
        <f t="shared" si="60"/>
        <v>0</v>
      </c>
      <c r="W125" s="90">
        <f t="shared" si="60"/>
        <v>0</v>
      </c>
      <c r="X125" s="90">
        <f t="shared" si="60"/>
        <v>0</v>
      </c>
      <c r="Y125" s="90">
        <f t="shared" si="60"/>
        <v>0</v>
      </c>
      <c r="Z125" s="90">
        <f t="shared" si="60"/>
        <v>0</v>
      </c>
      <c r="AA125" s="90">
        <f t="shared" si="60"/>
        <v>0</v>
      </c>
      <c r="AB125" s="90">
        <f t="shared" si="60"/>
        <v>0</v>
      </c>
      <c r="AC125" s="90">
        <f t="shared" si="60"/>
        <v>0</v>
      </c>
      <c r="AD125" s="90">
        <f t="shared" si="60"/>
        <v>153.47222490539664</v>
      </c>
      <c r="AE125" s="88">
        <f t="shared" ref="AE125:CP125" si="61">SUM(AE126:AE130)</f>
        <v>1103.091845847802</v>
      </c>
      <c r="AF125" s="89">
        <f t="shared" si="61"/>
        <v>0</v>
      </c>
      <c r="AG125" s="89">
        <f t="shared" si="61"/>
        <v>4.9386080334166829E-6</v>
      </c>
      <c r="AH125" s="89">
        <f t="shared" si="61"/>
        <v>0</v>
      </c>
      <c r="AI125" s="90">
        <f t="shared" si="61"/>
        <v>0</v>
      </c>
      <c r="AJ125" s="90">
        <f t="shared" si="61"/>
        <v>474.43884172041618</v>
      </c>
      <c r="AK125" s="90">
        <f t="shared" si="61"/>
        <v>0</v>
      </c>
      <c r="AL125" s="90">
        <f t="shared" si="61"/>
        <v>0</v>
      </c>
      <c r="AM125" s="90">
        <f t="shared" si="61"/>
        <v>59.139555282459305</v>
      </c>
      <c r="AN125" s="90">
        <f t="shared" si="61"/>
        <v>30.609006452083321</v>
      </c>
      <c r="AO125" s="90">
        <f t="shared" si="61"/>
        <v>0</v>
      </c>
      <c r="AP125" s="90">
        <f t="shared" si="61"/>
        <v>2.1585208532346494</v>
      </c>
      <c r="AQ125" s="90">
        <f t="shared" si="61"/>
        <v>0</v>
      </c>
      <c r="AR125" s="90">
        <f t="shared" si="61"/>
        <v>0</v>
      </c>
      <c r="AS125" s="90">
        <f t="shared" si="61"/>
        <v>0</v>
      </c>
      <c r="AT125" s="90">
        <f t="shared" si="61"/>
        <v>0</v>
      </c>
      <c r="AU125" s="90">
        <f t="shared" si="61"/>
        <v>0</v>
      </c>
      <c r="AV125" s="91">
        <f t="shared" si="61"/>
        <v>0</v>
      </c>
      <c r="AW125" s="88">
        <f t="shared" si="61"/>
        <v>0</v>
      </c>
      <c r="AX125" s="89">
        <f t="shared" si="61"/>
        <v>0</v>
      </c>
      <c r="AY125" s="89">
        <f t="shared" si="61"/>
        <v>0</v>
      </c>
      <c r="AZ125" s="89">
        <f t="shared" si="61"/>
        <v>0</v>
      </c>
      <c r="BA125" s="90">
        <f t="shared" si="61"/>
        <v>0</v>
      </c>
      <c r="BB125" s="90">
        <f t="shared" si="61"/>
        <v>0</v>
      </c>
      <c r="BC125" s="90">
        <f t="shared" si="61"/>
        <v>0</v>
      </c>
      <c r="BD125" s="90">
        <f t="shared" si="61"/>
        <v>0</v>
      </c>
      <c r="BE125" s="90">
        <f t="shared" si="61"/>
        <v>0</v>
      </c>
      <c r="BF125" s="90">
        <f t="shared" si="61"/>
        <v>0</v>
      </c>
      <c r="BG125" s="90">
        <f t="shared" si="61"/>
        <v>0</v>
      </c>
      <c r="BH125" s="90">
        <f t="shared" si="61"/>
        <v>0</v>
      </c>
      <c r="BI125" s="90">
        <f t="shared" si="61"/>
        <v>0</v>
      </c>
      <c r="BJ125" s="90">
        <f t="shared" si="61"/>
        <v>0</v>
      </c>
      <c r="BK125" s="90">
        <f t="shared" si="61"/>
        <v>0</v>
      </c>
      <c r="BL125" s="90">
        <f t="shared" si="61"/>
        <v>0</v>
      </c>
      <c r="BM125" s="90">
        <f t="shared" si="61"/>
        <v>0</v>
      </c>
      <c r="BN125" s="91">
        <f t="shared" si="61"/>
        <v>0</v>
      </c>
      <c r="BO125" s="88">
        <f t="shared" si="61"/>
        <v>0</v>
      </c>
      <c r="BP125" s="89">
        <f t="shared" si="61"/>
        <v>0</v>
      </c>
      <c r="BQ125" s="89">
        <f t="shared" si="61"/>
        <v>0</v>
      </c>
      <c r="BR125" s="89">
        <f t="shared" si="61"/>
        <v>0</v>
      </c>
      <c r="BS125" s="90">
        <f t="shared" si="61"/>
        <v>0</v>
      </c>
      <c r="BT125" s="90">
        <f t="shared" si="61"/>
        <v>0</v>
      </c>
      <c r="BU125" s="90">
        <f t="shared" si="61"/>
        <v>0</v>
      </c>
      <c r="BV125" s="90">
        <f t="shared" si="61"/>
        <v>0</v>
      </c>
      <c r="BW125" s="90">
        <f t="shared" si="61"/>
        <v>0</v>
      </c>
      <c r="BX125" s="90">
        <f t="shared" si="61"/>
        <v>0</v>
      </c>
      <c r="BY125" s="90">
        <f t="shared" si="61"/>
        <v>0</v>
      </c>
      <c r="BZ125" s="90">
        <f t="shared" si="61"/>
        <v>0</v>
      </c>
      <c r="CA125" s="90">
        <f t="shared" si="61"/>
        <v>0</v>
      </c>
      <c r="CB125" s="90">
        <f t="shared" si="61"/>
        <v>0</v>
      </c>
      <c r="CC125" s="90">
        <f t="shared" si="61"/>
        <v>0</v>
      </c>
      <c r="CD125" s="90">
        <f t="shared" si="61"/>
        <v>0</v>
      </c>
      <c r="CE125" s="90">
        <f t="shared" si="61"/>
        <v>0</v>
      </c>
      <c r="CF125" s="91">
        <f t="shared" si="61"/>
        <v>0</v>
      </c>
      <c r="CG125" s="88">
        <f t="shared" si="61"/>
        <v>0</v>
      </c>
      <c r="CH125" s="89">
        <f t="shared" si="61"/>
        <v>0</v>
      </c>
      <c r="CI125" s="89">
        <f t="shared" si="61"/>
        <v>0</v>
      </c>
      <c r="CJ125" s="89">
        <f t="shared" si="61"/>
        <v>0</v>
      </c>
      <c r="CK125" s="90">
        <f t="shared" si="61"/>
        <v>0</v>
      </c>
      <c r="CL125" s="90">
        <f t="shared" si="61"/>
        <v>0</v>
      </c>
      <c r="CM125" s="90">
        <f t="shared" si="61"/>
        <v>0</v>
      </c>
      <c r="CN125" s="90">
        <f t="shared" si="61"/>
        <v>0</v>
      </c>
      <c r="CO125" s="90">
        <f t="shared" si="61"/>
        <v>0</v>
      </c>
      <c r="CP125" s="90">
        <f t="shared" si="61"/>
        <v>0</v>
      </c>
      <c r="CQ125" s="90">
        <f t="shared" ref="CQ125:EZ125" si="62">SUM(CQ126:CQ130)</f>
        <v>0</v>
      </c>
      <c r="CR125" s="90">
        <f t="shared" si="62"/>
        <v>0</v>
      </c>
      <c r="CS125" s="90">
        <f t="shared" si="62"/>
        <v>0</v>
      </c>
      <c r="CT125" s="90">
        <f t="shared" si="62"/>
        <v>0</v>
      </c>
      <c r="CU125" s="90">
        <f t="shared" si="62"/>
        <v>0</v>
      </c>
      <c r="CV125" s="90">
        <f t="shared" si="62"/>
        <v>0</v>
      </c>
      <c r="CW125" s="90">
        <f t="shared" si="62"/>
        <v>0</v>
      </c>
      <c r="CX125" s="91">
        <f t="shared" si="62"/>
        <v>0</v>
      </c>
      <c r="CY125" s="88">
        <f t="shared" si="62"/>
        <v>0</v>
      </c>
      <c r="CZ125" s="89">
        <f t="shared" si="62"/>
        <v>0</v>
      </c>
      <c r="DA125" s="89">
        <f t="shared" si="62"/>
        <v>0</v>
      </c>
      <c r="DB125" s="89">
        <f t="shared" si="62"/>
        <v>0</v>
      </c>
      <c r="DC125" s="90">
        <f t="shared" si="62"/>
        <v>0</v>
      </c>
      <c r="DD125" s="90">
        <f t="shared" si="62"/>
        <v>0</v>
      </c>
      <c r="DE125" s="90">
        <f t="shared" si="62"/>
        <v>0</v>
      </c>
      <c r="DF125" s="90">
        <f t="shared" si="62"/>
        <v>0</v>
      </c>
      <c r="DG125" s="90">
        <f t="shared" si="62"/>
        <v>0</v>
      </c>
      <c r="DH125" s="90">
        <f t="shared" si="62"/>
        <v>0</v>
      </c>
      <c r="DI125" s="90">
        <f t="shared" si="62"/>
        <v>0</v>
      </c>
      <c r="DJ125" s="90">
        <f t="shared" si="62"/>
        <v>0</v>
      </c>
      <c r="DK125" s="90">
        <f t="shared" si="62"/>
        <v>0</v>
      </c>
      <c r="DL125" s="90">
        <f t="shared" si="62"/>
        <v>0</v>
      </c>
      <c r="DM125" s="90">
        <f t="shared" si="62"/>
        <v>0</v>
      </c>
      <c r="DN125" s="90">
        <f t="shared" si="62"/>
        <v>0</v>
      </c>
      <c r="DO125" s="90">
        <f t="shared" si="62"/>
        <v>0</v>
      </c>
      <c r="DP125" s="91">
        <f t="shared" si="62"/>
        <v>0</v>
      </c>
      <c r="DQ125" s="88">
        <f t="shared" si="62"/>
        <v>0</v>
      </c>
      <c r="DR125" s="89">
        <f t="shared" si="62"/>
        <v>0</v>
      </c>
      <c r="DS125" s="89">
        <f t="shared" si="62"/>
        <v>0</v>
      </c>
      <c r="DT125" s="89">
        <f t="shared" si="62"/>
        <v>0</v>
      </c>
      <c r="DU125" s="90">
        <f t="shared" si="62"/>
        <v>0</v>
      </c>
      <c r="DV125" s="90">
        <f t="shared" si="62"/>
        <v>0</v>
      </c>
      <c r="DW125" s="90">
        <f t="shared" si="62"/>
        <v>0</v>
      </c>
      <c r="DX125" s="90">
        <f t="shared" si="62"/>
        <v>0</v>
      </c>
      <c r="DY125" s="90">
        <f t="shared" si="62"/>
        <v>0</v>
      </c>
      <c r="DZ125" s="90">
        <f t="shared" si="62"/>
        <v>0</v>
      </c>
      <c r="EA125" s="90">
        <f t="shared" si="62"/>
        <v>0</v>
      </c>
      <c r="EB125" s="90">
        <f t="shared" si="62"/>
        <v>0</v>
      </c>
      <c r="EC125" s="90">
        <f t="shared" si="62"/>
        <v>0</v>
      </c>
      <c r="ED125" s="90">
        <f t="shared" si="62"/>
        <v>0</v>
      </c>
      <c r="EE125" s="90">
        <f t="shared" si="62"/>
        <v>0</v>
      </c>
      <c r="EF125" s="90">
        <f t="shared" si="62"/>
        <v>0</v>
      </c>
      <c r="EG125" s="90">
        <f t="shared" si="62"/>
        <v>0</v>
      </c>
      <c r="EH125" s="91">
        <f t="shared" si="62"/>
        <v>0</v>
      </c>
      <c r="EI125" s="88">
        <f t="shared" si="62"/>
        <v>0</v>
      </c>
      <c r="EJ125" s="89">
        <f t="shared" si="62"/>
        <v>0</v>
      </c>
      <c r="EK125" s="89">
        <f t="shared" si="62"/>
        <v>0</v>
      </c>
      <c r="EL125" s="89">
        <f t="shared" si="62"/>
        <v>0</v>
      </c>
      <c r="EM125" s="90">
        <f t="shared" si="62"/>
        <v>0</v>
      </c>
      <c r="EN125" s="90">
        <f t="shared" si="62"/>
        <v>0</v>
      </c>
      <c r="EO125" s="90">
        <f t="shared" si="62"/>
        <v>0</v>
      </c>
      <c r="EP125" s="90">
        <f t="shared" si="62"/>
        <v>0</v>
      </c>
      <c r="EQ125" s="90">
        <f t="shared" si="62"/>
        <v>0</v>
      </c>
      <c r="ER125" s="90">
        <f t="shared" si="62"/>
        <v>0</v>
      </c>
      <c r="ES125" s="90">
        <f t="shared" si="62"/>
        <v>0</v>
      </c>
      <c r="ET125" s="90">
        <f t="shared" si="62"/>
        <v>0</v>
      </c>
      <c r="EU125" s="90">
        <f t="shared" si="62"/>
        <v>0</v>
      </c>
      <c r="EV125" s="90">
        <f t="shared" si="62"/>
        <v>0</v>
      </c>
      <c r="EW125" s="90">
        <f t="shared" si="62"/>
        <v>0</v>
      </c>
      <c r="EX125" s="90">
        <f t="shared" si="62"/>
        <v>0</v>
      </c>
      <c r="EY125" s="90">
        <f t="shared" si="62"/>
        <v>0</v>
      </c>
      <c r="EZ125" s="91">
        <f t="shared" si="62"/>
        <v>0</v>
      </c>
    </row>
    <row r="126" spans="1:156">
      <c r="A126" s="11"/>
      <c r="B126" s="71" t="s">
        <v>222</v>
      </c>
      <c r="C126" s="92" t="s">
        <v>223</v>
      </c>
      <c r="D126" s="93"/>
      <c r="E126" s="93"/>
      <c r="F126" s="94"/>
      <c r="G126" s="75">
        <f>SUM(H126:AD126)</f>
        <v>1822.91</v>
      </c>
      <c r="H126" s="76">
        <f t="shared" ref="H126:W130" si="63">SUM(AE126,AW126,BO126,CG126,CY126,DQ126,EI126)</f>
        <v>1103.091845847802</v>
      </c>
      <c r="I126" s="77">
        <f t="shared" si="63"/>
        <v>0</v>
      </c>
      <c r="J126" s="77">
        <f t="shared" si="63"/>
        <v>4.9386080334166829E-6</v>
      </c>
      <c r="K126" s="77">
        <f t="shared" si="63"/>
        <v>0</v>
      </c>
      <c r="L126" s="78">
        <f t="shared" si="63"/>
        <v>0</v>
      </c>
      <c r="M126" s="78">
        <f t="shared" si="63"/>
        <v>474.43884172041618</v>
      </c>
      <c r="N126" s="78">
        <f t="shared" si="63"/>
        <v>0</v>
      </c>
      <c r="O126" s="78">
        <f t="shared" si="63"/>
        <v>0</v>
      </c>
      <c r="P126" s="78">
        <f t="shared" si="63"/>
        <v>59.139555282459305</v>
      </c>
      <c r="Q126" s="78">
        <f t="shared" si="63"/>
        <v>30.609006452083321</v>
      </c>
      <c r="R126" s="78">
        <f t="shared" si="63"/>
        <v>0</v>
      </c>
      <c r="S126" s="78">
        <f t="shared" si="63"/>
        <v>2.1585208532346494</v>
      </c>
      <c r="T126" s="78">
        <f t="shared" si="63"/>
        <v>0</v>
      </c>
      <c r="U126" s="78">
        <f t="shared" si="63"/>
        <v>0</v>
      </c>
      <c r="V126" s="78">
        <f t="shared" si="63"/>
        <v>0</v>
      </c>
      <c r="W126" s="78">
        <f t="shared" si="63"/>
        <v>0</v>
      </c>
      <c r="X126" s="78">
        <f t="shared" ref="R126:Y130" si="64">SUM(AU126,BM126,CE126,CW126,DO126,EG126,EY126)</f>
        <v>0</v>
      </c>
      <c r="Y126" s="78">
        <f t="shared" si="64"/>
        <v>0</v>
      </c>
      <c r="Z126" s="79">
        <f>SIS064_F_Bankopaslauguk1Elektrosenergi5</f>
        <v>0</v>
      </c>
      <c r="AA126" s="79">
        <f>SUM(SIS062_F_Bankopaslauguk1Geriamojovande1,SIS063_F_Bankopaslauguk1Geriamojovande1,SIS065_F_Bankopaslauguk1Geriamojovande1)</f>
        <v>0</v>
      </c>
      <c r="AB126" s="79">
        <f>SUM(SIS062_F_Bankopaslauguk1Paslaugaproduk8,SIS063_F_Bankopaslauguk1Paslaugaproduk8,SIS065_F_Bankopaslauguk1Paslaugaproduk8)</f>
        <v>0</v>
      </c>
      <c r="AC126" s="79">
        <f>SIS064_F_Bankopaslauguk1Elektrosenergi6</f>
        <v>0</v>
      </c>
      <c r="AD126" s="79">
        <f>SUM(SIS062_F_Bankopaslauguk1Paslaugaproduk9,SIS063_F_Bankopaslauguk1Paslaugaproduk9,SIS065_F_Bankopaslauguk1Paslaugaproduk9)</f>
        <v>153.47222490539664</v>
      </c>
      <c r="AE126" s="80">
        <v>1103.091845847802</v>
      </c>
      <c r="AF126" s="81">
        <v>0</v>
      </c>
      <c r="AG126" s="81">
        <v>4.9386080334166829E-6</v>
      </c>
      <c r="AH126" s="81">
        <v>0</v>
      </c>
      <c r="AI126" s="82">
        <v>0</v>
      </c>
      <c r="AJ126" s="82">
        <v>474.43884172041618</v>
      </c>
      <c r="AK126" s="82">
        <v>0</v>
      </c>
      <c r="AL126" s="82">
        <v>0</v>
      </c>
      <c r="AM126" s="82">
        <v>59.139555282459305</v>
      </c>
      <c r="AN126" s="82">
        <v>30.609006452083321</v>
      </c>
      <c r="AO126" s="82">
        <v>0</v>
      </c>
      <c r="AP126" s="82">
        <v>2.1585208532346494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83">
        <v>0</v>
      </c>
      <c r="AW126" s="80"/>
      <c r="AX126" s="81"/>
      <c r="AY126" s="81"/>
      <c r="AZ126" s="81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3"/>
      <c r="BO126" s="80"/>
      <c r="BP126" s="81"/>
      <c r="BQ126" s="81"/>
      <c r="BR126" s="81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3"/>
      <c r="CG126" s="80"/>
      <c r="CH126" s="81"/>
      <c r="CI126" s="81"/>
      <c r="CJ126" s="81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3"/>
      <c r="CY126" s="80"/>
      <c r="CZ126" s="81"/>
      <c r="DA126" s="81"/>
      <c r="DB126" s="81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3"/>
      <c r="DQ126" s="80"/>
      <c r="DR126" s="81"/>
      <c r="DS126" s="81"/>
      <c r="DT126" s="81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3"/>
      <c r="EI126" s="80"/>
      <c r="EJ126" s="81"/>
      <c r="EK126" s="81"/>
      <c r="EL126" s="81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3"/>
    </row>
    <row r="127" spans="1:156">
      <c r="A127" s="11"/>
      <c r="B127" s="71" t="s">
        <v>224</v>
      </c>
      <c r="C127" s="92" t="s">
        <v>225</v>
      </c>
      <c r="D127" s="93"/>
      <c r="E127" s="93"/>
      <c r="F127" s="94"/>
      <c r="G127" s="75">
        <f>SUM(H127:AD127)</f>
        <v>0</v>
      </c>
      <c r="H127" s="76">
        <f t="shared" si="63"/>
        <v>0</v>
      </c>
      <c r="I127" s="77">
        <f t="shared" si="63"/>
        <v>0</v>
      </c>
      <c r="J127" s="77">
        <f t="shared" si="63"/>
        <v>0</v>
      </c>
      <c r="K127" s="77">
        <f t="shared" si="63"/>
        <v>0</v>
      </c>
      <c r="L127" s="78">
        <f t="shared" si="63"/>
        <v>0</v>
      </c>
      <c r="M127" s="78">
        <f t="shared" si="63"/>
        <v>0</v>
      </c>
      <c r="N127" s="78">
        <f t="shared" si="63"/>
        <v>0</v>
      </c>
      <c r="O127" s="78">
        <f t="shared" si="63"/>
        <v>0</v>
      </c>
      <c r="P127" s="78">
        <f t="shared" si="63"/>
        <v>0</v>
      </c>
      <c r="Q127" s="78">
        <f t="shared" si="63"/>
        <v>0</v>
      </c>
      <c r="R127" s="78">
        <f t="shared" si="64"/>
        <v>0</v>
      </c>
      <c r="S127" s="78">
        <f t="shared" si="64"/>
        <v>0</v>
      </c>
      <c r="T127" s="78">
        <f t="shared" si="64"/>
        <v>0</v>
      </c>
      <c r="U127" s="78">
        <f t="shared" si="64"/>
        <v>0</v>
      </c>
      <c r="V127" s="78">
        <f t="shared" si="64"/>
        <v>0</v>
      </c>
      <c r="W127" s="78">
        <f t="shared" si="64"/>
        <v>0</v>
      </c>
      <c r="X127" s="78">
        <f t="shared" si="64"/>
        <v>0</v>
      </c>
      <c r="Y127" s="78">
        <f t="shared" si="64"/>
        <v>0</v>
      </c>
      <c r="Z127" s="79">
        <f>SIS064_F_Palukanusanaud1Elektrosenergi5</f>
        <v>0</v>
      </c>
      <c r="AA127" s="79">
        <f>SUM(SIS062_F_Palukanusanaud1Geriamojovande1,SIS063_F_Palukanusanaud1Geriamojovande1,SIS065_F_Palukanusanaud1Geriamojovande1)</f>
        <v>0</v>
      </c>
      <c r="AB127" s="79">
        <f>SUM(SIS062_F_Palukanusanaud1Paslaugaproduk8,SIS063_F_Palukanusanaud1Paslaugaproduk8,SIS065_F_Palukanusanaud1Paslaugaproduk8)</f>
        <v>0</v>
      </c>
      <c r="AC127" s="79">
        <f>SIS064_F_Palukanusanaud1Elektrosenergi6</f>
        <v>0</v>
      </c>
      <c r="AD127" s="79">
        <f>SUM(SIS062_F_Palukanusanaud1Paslaugaproduk9,SIS063_F_Palukanusanaud1Paslaugaproduk9,SIS065_F_Palukanusanaud1Paslaugaproduk9)</f>
        <v>0</v>
      </c>
      <c r="AE127" s="80">
        <v>0</v>
      </c>
      <c r="AF127" s="81">
        <v>0</v>
      </c>
      <c r="AG127" s="81">
        <v>0</v>
      </c>
      <c r="AH127" s="81">
        <v>0</v>
      </c>
      <c r="AI127" s="82">
        <v>0</v>
      </c>
      <c r="AJ127" s="82">
        <v>0</v>
      </c>
      <c r="AK127" s="82">
        <v>0</v>
      </c>
      <c r="AL127" s="82">
        <v>0</v>
      </c>
      <c r="AM127" s="82">
        <v>0</v>
      </c>
      <c r="AN127" s="82">
        <v>0</v>
      </c>
      <c r="AO127" s="82">
        <v>0</v>
      </c>
      <c r="AP127" s="82">
        <v>0</v>
      </c>
      <c r="AQ127" s="82">
        <v>0</v>
      </c>
      <c r="AR127" s="82">
        <v>0</v>
      </c>
      <c r="AS127" s="82">
        <v>0</v>
      </c>
      <c r="AT127" s="82">
        <v>0</v>
      </c>
      <c r="AU127" s="82">
        <v>0</v>
      </c>
      <c r="AV127" s="83">
        <v>0</v>
      </c>
      <c r="AW127" s="80"/>
      <c r="AX127" s="81"/>
      <c r="AY127" s="81"/>
      <c r="AZ127" s="81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3"/>
      <c r="BO127" s="80"/>
      <c r="BP127" s="81"/>
      <c r="BQ127" s="81"/>
      <c r="BR127" s="81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3"/>
      <c r="CG127" s="80"/>
      <c r="CH127" s="81"/>
      <c r="CI127" s="81"/>
      <c r="CJ127" s="81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3"/>
      <c r="CY127" s="80"/>
      <c r="CZ127" s="81"/>
      <c r="DA127" s="81"/>
      <c r="DB127" s="81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3"/>
      <c r="DQ127" s="80"/>
      <c r="DR127" s="81"/>
      <c r="DS127" s="81"/>
      <c r="DT127" s="81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3"/>
      <c r="EI127" s="80"/>
      <c r="EJ127" s="81"/>
      <c r="EK127" s="81"/>
      <c r="EL127" s="81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3"/>
    </row>
    <row r="128" spans="1:156">
      <c r="A128" s="11"/>
      <c r="B128" s="71" t="s">
        <v>226</v>
      </c>
      <c r="C128" s="92" t="s">
        <v>227</v>
      </c>
      <c r="D128" s="93"/>
      <c r="E128" s="93"/>
      <c r="F128" s="94"/>
      <c r="G128" s="75">
        <f>SUM(H128:AD128)</f>
        <v>0</v>
      </c>
      <c r="H128" s="76">
        <f t="shared" si="63"/>
        <v>0</v>
      </c>
      <c r="I128" s="77">
        <f t="shared" si="63"/>
        <v>0</v>
      </c>
      <c r="J128" s="77">
        <f t="shared" si="63"/>
        <v>0</v>
      </c>
      <c r="K128" s="77">
        <f t="shared" si="63"/>
        <v>0</v>
      </c>
      <c r="L128" s="78">
        <f t="shared" si="63"/>
        <v>0</v>
      </c>
      <c r="M128" s="78">
        <f t="shared" si="63"/>
        <v>0</v>
      </c>
      <c r="N128" s="78">
        <f t="shared" si="63"/>
        <v>0</v>
      </c>
      <c r="O128" s="78">
        <f t="shared" si="63"/>
        <v>0</v>
      </c>
      <c r="P128" s="78">
        <f t="shared" si="63"/>
        <v>0</v>
      </c>
      <c r="Q128" s="78">
        <f t="shared" si="63"/>
        <v>0</v>
      </c>
      <c r="R128" s="78">
        <f t="shared" si="64"/>
        <v>0</v>
      </c>
      <c r="S128" s="78">
        <f t="shared" si="64"/>
        <v>0</v>
      </c>
      <c r="T128" s="78">
        <f t="shared" si="64"/>
        <v>0</v>
      </c>
      <c r="U128" s="78">
        <f t="shared" si="64"/>
        <v>0</v>
      </c>
      <c r="V128" s="78">
        <f t="shared" si="64"/>
        <v>0</v>
      </c>
      <c r="W128" s="78">
        <f t="shared" si="64"/>
        <v>0</v>
      </c>
      <c r="X128" s="78">
        <f t="shared" si="64"/>
        <v>0</v>
      </c>
      <c r="Y128" s="78">
        <f t="shared" si="64"/>
        <v>0</v>
      </c>
      <c r="Z128" s="79">
        <f>SIS064_F_Neigiamosmoket1Elektrosenergi5</f>
        <v>0</v>
      </c>
      <c r="AA128" s="79">
        <f>SUM(SIS062_F_Neigiamosmoket1Geriamojovande1,SIS063_F_Neigiamosmoket1Geriamojovande1,SIS065_F_Neigiamosmoket1Geriamojovande1)</f>
        <v>0</v>
      </c>
      <c r="AB128" s="79">
        <f>SUM(SIS062_F_Neigiamosmoket1Paslaugaproduk8,SIS063_F_Neigiamosmoket1Paslaugaproduk8,SIS065_F_Neigiamosmoket1Paslaugaproduk8)</f>
        <v>0</v>
      </c>
      <c r="AC128" s="79">
        <f>SIS064_F_Neigiamosmoket1Elektrosenergi6</f>
        <v>0</v>
      </c>
      <c r="AD128" s="79">
        <f>SUM(SIS062_F_Neigiamosmoket1Paslaugaproduk9,SIS063_F_Neigiamosmoket1Paslaugaproduk9,SIS065_F_Neigiamosmoket1Paslaugaproduk9)</f>
        <v>0</v>
      </c>
      <c r="AE128" s="80">
        <v>0</v>
      </c>
      <c r="AF128" s="81">
        <v>0</v>
      </c>
      <c r="AG128" s="81">
        <v>0</v>
      </c>
      <c r="AH128" s="81">
        <v>0</v>
      </c>
      <c r="AI128" s="82">
        <v>0</v>
      </c>
      <c r="AJ128" s="82">
        <v>0</v>
      </c>
      <c r="AK128" s="82">
        <v>0</v>
      </c>
      <c r="AL128" s="82">
        <v>0</v>
      </c>
      <c r="AM128" s="82">
        <v>0</v>
      </c>
      <c r="AN128" s="82">
        <v>0</v>
      </c>
      <c r="AO128" s="82">
        <v>0</v>
      </c>
      <c r="AP128" s="82">
        <v>0</v>
      </c>
      <c r="AQ128" s="82">
        <v>0</v>
      </c>
      <c r="AR128" s="82">
        <v>0</v>
      </c>
      <c r="AS128" s="82">
        <v>0</v>
      </c>
      <c r="AT128" s="82">
        <v>0</v>
      </c>
      <c r="AU128" s="82">
        <v>0</v>
      </c>
      <c r="AV128" s="83">
        <v>0</v>
      </c>
      <c r="AW128" s="80"/>
      <c r="AX128" s="81"/>
      <c r="AY128" s="81"/>
      <c r="AZ128" s="81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3"/>
      <c r="BO128" s="80"/>
      <c r="BP128" s="81"/>
      <c r="BQ128" s="81"/>
      <c r="BR128" s="81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3"/>
      <c r="CG128" s="80"/>
      <c r="CH128" s="81"/>
      <c r="CI128" s="81"/>
      <c r="CJ128" s="81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3"/>
      <c r="CY128" s="80"/>
      <c r="CZ128" s="81"/>
      <c r="DA128" s="81"/>
      <c r="DB128" s="81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3"/>
      <c r="DQ128" s="80"/>
      <c r="DR128" s="81"/>
      <c r="DS128" s="81"/>
      <c r="DT128" s="81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3"/>
      <c r="EI128" s="80"/>
      <c r="EJ128" s="81"/>
      <c r="EK128" s="81"/>
      <c r="EL128" s="81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3"/>
    </row>
    <row r="129" spans="1:156">
      <c r="A129" s="11"/>
      <c r="B129" s="71" t="s">
        <v>228</v>
      </c>
      <c r="C129" s="92" t="str">
        <f>SIS055_D_Kitosfinansine1</f>
        <v>Kitos finansinės sąnaudos (nurodyti)</v>
      </c>
      <c r="D129" s="93"/>
      <c r="E129" s="93"/>
      <c r="F129" s="94"/>
      <c r="G129" s="75">
        <f>SUM(H129:AD129)</f>
        <v>0</v>
      </c>
      <c r="H129" s="76">
        <f t="shared" si="63"/>
        <v>0</v>
      </c>
      <c r="I129" s="77">
        <f t="shared" si="63"/>
        <v>0</v>
      </c>
      <c r="J129" s="77">
        <f t="shared" si="63"/>
        <v>0</v>
      </c>
      <c r="K129" s="77">
        <f t="shared" si="63"/>
        <v>0</v>
      </c>
      <c r="L129" s="78">
        <f t="shared" si="63"/>
        <v>0</v>
      </c>
      <c r="M129" s="78">
        <f t="shared" si="63"/>
        <v>0</v>
      </c>
      <c r="N129" s="78">
        <f t="shared" si="63"/>
        <v>0</v>
      </c>
      <c r="O129" s="78">
        <f t="shared" si="63"/>
        <v>0</v>
      </c>
      <c r="P129" s="78">
        <f t="shared" si="63"/>
        <v>0</v>
      </c>
      <c r="Q129" s="78">
        <f t="shared" si="63"/>
        <v>0</v>
      </c>
      <c r="R129" s="78">
        <f t="shared" si="64"/>
        <v>0</v>
      </c>
      <c r="S129" s="78">
        <f t="shared" si="64"/>
        <v>0</v>
      </c>
      <c r="T129" s="78">
        <f t="shared" si="64"/>
        <v>0</v>
      </c>
      <c r="U129" s="78">
        <f t="shared" si="64"/>
        <v>0</v>
      </c>
      <c r="V129" s="78">
        <f t="shared" si="64"/>
        <v>0</v>
      </c>
      <c r="W129" s="78">
        <f t="shared" si="64"/>
        <v>0</v>
      </c>
      <c r="X129" s="78">
        <f t="shared" si="64"/>
        <v>0</v>
      </c>
      <c r="Y129" s="78">
        <f t="shared" si="64"/>
        <v>0</v>
      </c>
      <c r="Z129" s="79">
        <f>SIS064_F_Kitosfinansine1Elektrosenergi5</f>
        <v>0</v>
      </c>
      <c r="AA129" s="79">
        <f>SUM(SIS062_F_Kitosfinansine1Geriamojovande1,SIS063_F_Kitosfinansine1Geriamojovande1,SIS065_F_Kitosfinansine1Geriamojovande1)</f>
        <v>0</v>
      </c>
      <c r="AB129" s="79">
        <f>SUM(SIS062_F_Kitosfinansine1Paslaugaproduk8,SIS063_F_Kitosfinansine1Paslaugaproduk8,SIS065_F_Kitosfinansine1Paslaugaproduk8)</f>
        <v>0</v>
      </c>
      <c r="AC129" s="79">
        <f>SIS064_F_Kitosfinansine1Elektrosenergi6</f>
        <v>0</v>
      </c>
      <c r="AD129" s="79">
        <f>SUM(SIS062_F_Kitosfinansine1Paslaugaproduk9,SIS063_F_Kitosfinansine1Paslaugaproduk9,SIS065_F_Kitosfinansine1Paslaugaproduk9)</f>
        <v>0</v>
      </c>
      <c r="AE129" s="80">
        <v>0</v>
      </c>
      <c r="AF129" s="81">
        <v>0</v>
      </c>
      <c r="AG129" s="81">
        <v>0</v>
      </c>
      <c r="AH129" s="81">
        <v>0</v>
      </c>
      <c r="AI129" s="82">
        <v>0</v>
      </c>
      <c r="AJ129" s="82">
        <v>0</v>
      </c>
      <c r="AK129" s="82">
        <v>0</v>
      </c>
      <c r="AL129" s="82">
        <v>0</v>
      </c>
      <c r="AM129" s="82">
        <v>0</v>
      </c>
      <c r="AN129" s="82">
        <v>0</v>
      </c>
      <c r="AO129" s="82">
        <v>0</v>
      </c>
      <c r="AP129" s="82">
        <v>0</v>
      </c>
      <c r="AQ129" s="82">
        <v>0</v>
      </c>
      <c r="AR129" s="82">
        <v>0</v>
      </c>
      <c r="AS129" s="82">
        <v>0</v>
      </c>
      <c r="AT129" s="82">
        <v>0</v>
      </c>
      <c r="AU129" s="82">
        <v>0</v>
      </c>
      <c r="AV129" s="83">
        <v>0</v>
      </c>
      <c r="AW129" s="80"/>
      <c r="AX129" s="81"/>
      <c r="AY129" s="81"/>
      <c r="AZ129" s="81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3"/>
      <c r="BO129" s="80"/>
      <c r="BP129" s="81"/>
      <c r="BQ129" s="81"/>
      <c r="BR129" s="81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3"/>
      <c r="CG129" s="80"/>
      <c r="CH129" s="81"/>
      <c r="CI129" s="81"/>
      <c r="CJ129" s="81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3"/>
      <c r="CY129" s="80"/>
      <c r="CZ129" s="81"/>
      <c r="DA129" s="81"/>
      <c r="DB129" s="81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3"/>
      <c r="DQ129" s="80"/>
      <c r="DR129" s="81"/>
      <c r="DS129" s="81"/>
      <c r="DT129" s="81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3"/>
      <c r="EI129" s="80"/>
      <c r="EJ129" s="81"/>
      <c r="EK129" s="81"/>
      <c r="EL129" s="81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3"/>
    </row>
    <row r="130" spans="1:156">
      <c r="A130" s="11"/>
      <c r="B130" s="71" t="s">
        <v>229</v>
      </c>
      <c r="C130" s="92" t="str">
        <f>SIS055_D_Kitosfinansine2</f>
        <v>Kitos finansinės sąnaudos (nurodyti)</v>
      </c>
      <c r="D130" s="93"/>
      <c r="E130" s="93"/>
      <c r="F130" s="94"/>
      <c r="G130" s="75">
        <f>SUM(H130:AD130)</f>
        <v>0</v>
      </c>
      <c r="H130" s="76">
        <f t="shared" si="63"/>
        <v>0</v>
      </c>
      <c r="I130" s="77">
        <f t="shared" si="63"/>
        <v>0</v>
      </c>
      <c r="J130" s="77">
        <f t="shared" si="63"/>
        <v>0</v>
      </c>
      <c r="K130" s="77">
        <f t="shared" si="63"/>
        <v>0</v>
      </c>
      <c r="L130" s="78">
        <f t="shared" si="63"/>
        <v>0</v>
      </c>
      <c r="M130" s="78">
        <f t="shared" si="63"/>
        <v>0</v>
      </c>
      <c r="N130" s="78">
        <f t="shared" si="63"/>
        <v>0</v>
      </c>
      <c r="O130" s="78">
        <f t="shared" si="63"/>
        <v>0</v>
      </c>
      <c r="P130" s="78">
        <f t="shared" si="63"/>
        <v>0</v>
      </c>
      <c r="Q130" s="78">
        <f t="shared" si="63"/>
        <v>0</v>
      </c>
      <c r="R130" s="78">
        <f t="shared" si="64"/>
        <v>0</v>
      </c>
      <c r="S130" s="78">
        <f t="shared" si="64"/>
        <v>0</v>
      </c>
      <c r="T130" s="78">
        <f t="shared" si="64"/>
        <v>0</v>
      </c>
      <c r="U130" s="78">
        <f t="shared" si="64"/>
        <v>0</v>
      </c>
      <c r="V130" s="78">
        <f t="shared" si="64"/>
        <v>0</v>
      </c>
      <c r="W130" s="78">
        <f t="shared" si="64"/>
        <v>0</v>
      </c>
      <c r="X130" s="78">
        <f t="shared" si="64"/>
        <v>0</v>
      </c>
      <c r="Y130" s="78">
        <f t="shared" si="64"/>
        <v>0</v>
      </c>
      <c r="Z130" s="79">
        <f>SIS064_F_Kitosfinansine2Elektrosenergi5</f>
        <v>0</v>
      </c>
      <c r="AA130" s="79">
        <f>SUM(SIS062_F_Kitosfinansine2Geriamojovande1,SIS063_F_Kitosfinansine2Geriamojovande1,SIS065_F_Kitosfinansine2Geriamojovande1)</f>
        <v>0</v>
      </c>
      <c r="AB130" s="79">
        <f>SUM(SIS062_F_Kitosfinansine2Paslaugaproduk8,SIS063_F_Kitosfinansine2Paslaugaproduk8,SIS065_F_Kitosfinansine2Paslaugaproduk8)</f>
        <v>0</v>
      </c>
      <c r="AC130" s="79">
        <f>SIS064_F_Kitosfinansine2Elektrosenergi6</f>
        <v>0</v>
      </c>
      <c r="AD130" s="79">
        <f>SUM(SIS062_F_Kitosfinansine2Paslaugaproduk9,SIS063_F_Kitosfinansine2Paslaugaproduk9,SIS065_F_Kitosfinansine2Paslaugaproduk9)</f>
        <v>0</v>
      </c>
      <c r="AE130" s="80">
        <v>0</v>
      </c>
      <c r="AF130" s="81">
        <v>0</v>
      </c>
      <c r="AG130" s="81">
        <v>0</v>
      </c>
      <c r="AH130" s="81">
        <v>0</v>
      </c>
      <c r="AI130" s="82">
        <v>0</v>
      </c>
      <c r="AJ130" s="82">
        <v>0</v>
      </c>
      <c r="AK130" s="82">
        <v>0</v>
      </c>
      <c r="AL130" s="82">
        <v>0</v>
      </c>
      <c r="AM130" s="82">
        <v>0</v>
      </c>
      <c r="AN130" s="82">
        <v>0</v>
      </c>
      <c r="AO130" s="82">
        <v>0</v>
      </c>
      <c r="AP130" s="82">
        <v>0</v>
      </c>
      <c r="AQ130" s="82">
        <v>0</v>
      </c>
      <c r="AR130" s="82">
        <v>0</v>
      </c>
      <c r="AS130" s="82">
        <v>0</v>
      </c>
      <c r="AT130" s="82">
        <v>0</v>
      </c>
      <c r="AU130" s="82">
        <v>0</v>
      </c>
      <c r="AV130" s="83">
        <v>0</v>
      </c>
      <c r="AW130" s="80"/>
      <c r="AX130" s="81"/>
      <c r="AY130" s="81"/>
      <c r="AZ130" s="81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3"/>
      <c r="BO130" s="80"/>
      <c r="BP130" s="81"/>
      <c r="BQ130" s="81"/>
      <c r="BR130" s="81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3"/>
      <c r="CG130" s="80"/>
      <c r="CH130" s="81"/>
      <c r="CI130" s="81"/>
      <c r="CJ130" s="81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3"/>
      <c r="CY130" s="80"/>
      <c r="CZ130" s="81"/>
      <c r="DA130" s="81"/>
      <c r="DB130" s="81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3"/>
      <c r="DQ130" s="80"/>
      <c r="DR130" s="81"/>
      <c r="DS130" s="81"/>
      <c r="DT130" s="81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3"/>
      <c r="EI130" s="80"/>
      <c r="EJ130" s="81"/>
      <c r="EK130" s="81"/>
      <c r="EL130" s="81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3"/>
    </row>
    <row r="131" spans="1:156">
      <c r="A131" s="11"/>
      <c r="B131" s="84" t="s">
        <v>230</v>
      </c>
      <c r="C131" s="109" t="s">
        <v>231</v>
      </c>
      <c r="D131" s="110"/>
      <c r="E131" s="110"/>
      <c r="F131" s="111"/>
      <c r="G131" s="101">
        <f t="shared" ref="G131:AD131" si="65">SUM(G132:G143)</f>
        <v>30572.030000000006</v>
      </c>
      <c r="H131" s="88">
        <f t="shared" si="65"/>
        <v>19188.187057830022</v>
      </c>
      <c r="I131" s="89">
        <f t="shared" si="65"/>
        <v>0</v>
      </c>
      <c r="J131" s="89">
        <f t="shared" si="65"/>
        <v>7.7575925149253486E-5</v>
      </c>
      <c r="K131" s="89">
        <f t="shared" si="65"/>
        <v>0</v>
      </c>
      <c r="L131" s="90">
        <f t="shared" si="65"/>
        <v>0</v>
      </c>
      <c r="M131" s="90">
        <f t="shared" si="65"/>
        <v>7481.3112793247255</v>
      </c>
      <c r="N131" s="90">
        <f t="shared" si="65"/>
        <v>0</v>
      </c>
      <c r="O131" s="90">
        <f t="shared" si="65"/>
        <v>0</v>
      </c>
      <c r="P131" s="90">
        <f t="shared" si="65"/>
        <v>977.0673695318992</v>
      </c>
      <c r="Q131" s="90">
        <f t="shared" si="65"/>
        <v>480.80794777654467</v>
      </c>
      <c r="R131" s="90">
        <f t="shared" si="65"/>
        <v>0</v>
      </c>
      <c r="S131" s="90">
        <f t="shared" si="65"/>
        <v>33.906163641779713</v>
      </c>
      <c r="T131" s="90">
        <f t="shared" si="65"/>
        <v>0</v>
      </c>
      <c r="U131" s="90">
        <f t="shared" si="65"/>
        <v>0</v>
      </c>
      <c r="V131" s="90">
        <f t="shared" si="65"/>
        <v>0</v>
      </c>
      <c r="W131" s="90">
        <f t="shared" si="65"/>
        <v>0</v>
      </c>
      <c r="X131" s="90">
        <f t="shared" si="65"/>
        <v>0</v>
      </c>
      <c r="Y131" s="90">
        <f t="shared" si="65"/>
        <v>0</v>
      </c>
      <c r="Z131" s="90">
        <f t="shared" si="65"/>
        <v>0</v>
      </c>
      <c r="AA131" s="90">
        <f t="shared" si="65"/>
        <v>0</v>
      </c>
      <c r="AB131" s="90">
        <f t="shared" si="65"/>
        <v>0</v>
      </c>
      <c r="AC131" s="90">
        <f t="shared" si="65"/>
        <v>0</v>
      </c>
      <c r="AD131" s="90">
        <f t="shared" si="65"/>
        <v>2410.7501043191064</v>
      </c>
      <c r="AE131" s="88">
        <f t="shared" ref="AE131:CP131" si="66">SUM(AE132:AE143)</f>
        <v>19188.187057830022</v>
      </c>
      <c r="AF131" s="89">
        <f t="shared" si="66"/>
        <v>0</v>
      </c>
      <c r="AG131" s="89">
        <f t="shared" si="66"/>
        <v>7.7575925149253486E-5</v>
      </c>
      <c r="AH131" s="89">
        <f t="shared" si="66"/>
        <v>0</v>
      </c>
      <c r="AI131" s="90">
        <f t="shared" si="66"/>
        <v>0</v>
      </c>
      <c r="AJ131" s="90">
        <f t="shared" si="66"/>
        <v>7481.3112793247255</v>
      </c>
      <c r="AK131" s="90">
        <f t="shared" si="66"/>
        <v>0</v>
      </c>
      <c r="AL131" s="90">
        <f t="shared" si="66"/>
        <v>0</v>
      </c>
      <c r="AM131" s="90">
        <f t="shared" si="66"/>
        <v>977.0673695318992</v>
      </c>
      <c r="AN131" s="90">
        <f t="shared" si="66"/>
        <v>480.80794777654467</v>
      </c>
      <c r="AO131" s="90">
        <f t="shared" si="66"/>
        <v>0</v>
      </c>
      <c r="AP131" s="90">
        <f t="shared" si="66"/>
        <v>33.906163641779713</v>
      </c>
      <c r="AQ131" s="90">
        <f t="shared" si="66"/>
        <v>0</v>
      </c>
      <c r="AR131" s="90">
        <f t="shared" si="66"/>
        <v>0</v>
      </c>
      <c r="AS131" s="90">
        <f t="shared" si="66"/>
        <v>0</v>
      </c>
      <c r="AT131" s="90">
        <f t="shared" si="66"/>
        <v>0</v>
      </c>
      <c r="AU131" s="90">
        <f t="shared" si="66"/>
        <v>0</v>
      </c>
      <c r="AV131" s="91">
        <f t="shared" si="66"/>
        <v>0</v>
      </c>
      <c r="AW131" s="88">
        <f t="shared" si="66"/>
        <v>0</v>
      </c>
      <c r="AX131" s="89">
        <f t="shared" si="66"/>
        <v>0</v>
      </c>
      <c r="AY131" s="89">
        <f t="shared" si="66"/>
        <v>0</v>
      </c>
      <c r="AZ131" s="89">
        <f t="shared" si="66"/>
        <v>0</v>
      </c>
      <c r="BA131" s="90">
        <f t="shared" si="66"/>
        <v>0</v>
      </c>
      <c r="BB131" s="90">
        <f t="shared" si="66"/>
        <v>0</v>
      </c>
      <c r="BC131" s="90">
        <f t="shared" si="66"/>
        <v>0</v>
      </c>
      <c r="BD131" s="90">
        <f t="shared" si="66"/>
        <v>0</v>
      </c>
      <c r="BE131" s="90">
        <f t="shared" si="66"/>
        <v>0</v>
      </c>
      <c r="BF131" s="90">
        <f t="shared" si="66"/>
        <v>0</v>
      </c>
      <c r="BG131" s="90">
        <f t="shared" si="66"/>
        <v>0</v>
      </c>
      <c r="BH131" s="90">
        <f t="shared" si="66"/>
        <v>0</v>
      </c>
      <c r="BI131" s="90">
        <f t="shared" si="66"/>
        <v>0</v>
      </c>
      <c r="BJ131" s="90">
        <f t="shared" si="66"/>
        <v>0</v>
      </c>
      <c r="BK131" s="90">
        <f t="shared" si="66"/>
        <v>0</v>
      </c>
      <c r="BL131" s="90">
        <f t="shared" si="66"/>
        <v>0</v>
      </c>
      <c r="BM131" s="90">
        <f t="shared" si="66"/>
        <v>0</v>
      </c>
      <c r="BN131" s="91">
        <f t="shared" si="66"/>
        <v>0</v>
      </c>
      <c r="BO131" s="88">
        <f t="shared" si="66"/>
        <v>0</v>
      </c>
      <c r="BP131" s="89">
        <f t="shared" si="66"/>
        <v>0</v>
      </c>
      <c r="BQ131" s="89">
        <f t="shared" si="66"/>
        <v>0</v>
      </c>
      <c r="BR131" s="89">
        <f t="shared" si="66"/>
        <v>0</v>
      </c>
      <c r="BS131" s="90">
        <f t="shared" si="66"/>
        <v>0</v>
      </c>
      <c r="BT131" s="90">
        <f t="shared" si="66"/>
        <v>0</v>
      </c>
      <c r="BU131" s="90">
        <f t="shared" si="66"/>
        <v>0</v>
      </c>
      <c r="BV131" s="90">
        <f t="shared" si="66"/>
        <v>0</v>
      </c>
      <c r="BW131" s="90">
        <f t="shared" si="66"/>
        <v>0</v>
      </c>
      <c r="BX131" s="90">
        <f t="shared" si="66"/>
        <v>0</v>
      </c>
      <c r="BY131" s="90">
        <f t="shared" si="66"/>
        <v>0</v>
      </c>
      <c r="BZ131" s="90">
        <f t="shared" si="66"/>
        <v>0</v>
      </c>
      <c r="CA131" s="90">
        <f t="shared" si="66"/>
        <v>0</v>
      </c>
      <c r="CB131" s="90">
        <f t="shared" si="66"/>
        <v>0</v>
      </c>
      <c r="CC131" s="90">
        <f t="shared" si="66"/>
        <v>0</v>
      </c>
      <c r="CD131" s="90">
        <f t="shared" si="66"/>
        <v>0</v>
      </c>
      <c r="CE131" s="90">
        <f t="shared" si="66"/>
        <v>0</v>
      </c>
      <c r="CF131" s="91">
        <f t="shared" si="66"/>
        <v>0</v>
      </c>
      <c r="CG131" s="88">
        <f t="shared" si="66"/>
        <v>0</v>
      </c>
      <c r="CH131" s="89">
        <f t="shared" si="66"/>
        <v>0</v>
      </c>
      <c r="CI131" s="89">
        <f t="shared" si="66"/>
        <v>0</v>
      </c>
      <c r="CJ131" s="89">
        <f t="shared" si="66"/>
        <v>0</v>
      </c>
      <c r="CK131" s="90">
        <f t="shared" si="66"/>
        <v>0</v>
      </c>
      <c r="CL131" s="90">
        <f t="shared" si="66"/>
        <v>0</v>
      </c>
      <c r="CM131" s="90">
        <f t="shared" si="66"/>
        <v>0</v>
      </c>
      <c r="CN131" s="90">
        <f t="shared" si="66"/>
        <v>0</v>
      </c>
      <c r="CO131" s="90">
        <f t="shared" si="66"/>
        <v>0</v>
      </c>
      <c r="CP131" s="90">
        <f t="shared" si="66"/>
        <v>0</v>
      </c>
      <c r="CQ131" s="90">
        <f t="shared" ref="CQ131:EZ131" si="67">SUM(CQ132:CQ143)</f>
        <v>0</v>
      </c>
      <c r="CR131" s="90">
        <f t="shared" si="67"/>
        <v>0</v>
      </c>
      <c r="CS131" s="90">
        <f t="shared" si="67"/>
        <v>0</v>
      </c>
      <c r="CT131" s="90">
        <f t="shared" si="67"/>
        <v>0</v>
      </c>
      <c r="CU131" s="90">
        <f t="shared" si="67"/>
        <v>0</v>
      </c>
      <c r="CV131" s="90">
        <f t="shared" si="67"/>
        <v>0</v>
      </c>
      <c r="CW131" s="90">
        <f t="shared" si="67"/>
        <v>0</v>
      </c>
      <c r="CX131" s="91">
        <f t="shared" si="67"/>
        <v>0</v>
      </c>
      <c r="CY131" s="88">
        <f t="shared" si="67"/>
        <v>0</v>
      </c>
      <c r="CZ131" s="89">
        <f t="shared" si="67"/>
        <v>0</v>
      </c>
      <c r="DA131" s="89">
        <f t="shared" si="67"/>
        <v>0</v>
      </c>
      <c r="DB131" s="89">
        <f t="shared" si="67"/>
        <v>0</v>
      </c>
      <c r="DC131" s="90">
        <f t="shared" si="67"/>
        <v>0</v>
      </c>
      <c r="DD131" s="90">
        <f t="shared" si="67"/>
        <v>0</v>
      </c>
      <c r="DE131" s="90">
        <f t="shared" si="67"/>
        <v>0</v>
      </c>
      <c r="DF131" s="90">
        <f t="shared" si="67"/>
        <v>0</v>
      </c>
      <c r="DG131" s="90">
        <f t="shared" si="67"/>
        <v>0</v>
      </c>
      <c r="DH131" s="90">
        <f t="shared" si="67"/>
        <v>0</v>
      </c>
      <c r="DI131" s="90">
        <f t="shared" si="67"/>
        <v>0</v>
      </c>
      <c r="DJ131" s="90">
        <f t="shared" si="67"/>
        <v>0</v>
      </c>
      <c r="DK131" s="90">
        <f t="shared" si="67"/>
        <v>0</v>
      </c>
      <c r="DL131" s="90">
        <f t="shared" si="67"/>
        <v>0</v>
      </c>
      <c r="DM131" s="90">
        <f t="shared" si="67"/>
        <v>0</v>
      </c>
      <c r="DN131" s="90">
        <f t="shared" si="67"/>
        <v>0</v>
      </c>
      <c r="DO131" s="90">
        <f t="shared" si="67"/>
        <v>0</v>
      </c>
      <c r="DP131" s="91">
        <f t="shared" si="67"/>
        <v>0</v>
      </c>
      <c r="DQ131" s="88">
        <f t="shared" si="67"/>
        <v>0</v>
      </c>
      <c r="DR131" s="89">
        <f t="shared" si="67"/>
        <v>0</v>
      </c>
      <c r="DS131" s="89">
        <f t="shared" si="67"/>
        <v>0</v>
      </c>
      <c r="DT131" s="89">
        <f t="shared" si="67"/>
        <v>0</v>
      </c>
      <c r="DU131" s="90">
        <f t="shared" si="67"/>
        <v>0</v>
      </c>
      <c r="DV131" s="90">
        <f t="shared" si="67"/>
        <v>0</v>
      </c>
      <c r="DW131" s="90">
        <f t="shared" si="67"/>
        <v>0</v>
      </c>
      <c r="DX131" s="90">
        <f t="shared" si="67"/>
        <v>0</v>
      </c>
      <c r="DY131" s="90">
        <f t="shared" si="67"/>
        <v>0</v>
      </c>
      <c r="DZ131" s="90">
        <f t="shared" si="67"/>
        <v>0</v>
      </c>
      <c r="EA131" s="90">
        <f t="shared" si="67"/>
        <v>0</v>
      </c>
      <c r="EB131" s="90">
        <f t="shared" si="67"/>
        <v>0</v>
      </c>
      <c r="EC131" s="90">
        <f t="shared" si="67"/>
        <v>0</v>
      </c>
      <c r="ED131" s="90">
        <f t="shared" si="67"/>
        <v>0</v>
      </c>
      <c r="EE131" s="90">
        <f t="shared" si="67"/>
        <v>0</v>
      </c>
      <c r="EF131" s="90">
        <f t="shared" si="67"/>
        <v>0</v>
      </c>
      <c r="EG131" s="90">
        <f t="shared" si="67"/>
        <v>0</v>
      </c>
      <c r="EH131" s="91">
        <f t="shared" si="67"/>
        <v>0</v>
      </c>
      <c r="EI131" s="88">
        <f t="shared" si="67"/>
        <v>0</v>
      </c>
      <c r="EJ131" s="89">
        <f t="shared" si="67"/>
        <v>0</v>
      </c>
      <c r="EK131" s="89">
        <f t="shared" si="67"/>
        <v>0</v>
      </c>
      <c r="EL131" s="89">
        <f t="shared" si="67"/>
        <v>0</v>
      </c>
      <c r="EM131" s="90">
        <f t="shared" si="67"/>
        <v>0</v>
      </c>
      <c r="EN131" s="90">
        <f t="shared" si="67"/>
        <v>0</v>
      </c>
      <c r="EO131" s="90">
        <f t="shared" si="67"/>
        <v>0</v>
      </c>
      <c r="EP131" s="90">
        <f t="shared" si="67"/>
        <v>0</v>
      </c>
      <c r="EQ131" s="90">
        <f t="shared" si="67"/>
        <v>0</v>
      </c>
      <c r="ER131" s="90">
        <f t="shared" si="67"/>
        <v>0</v>
      </c>
      <c r="ES131" s="90">
        <f t="shared" si="67"/>
        <v>0</v>
      </c>
      <c r="ET131" s="90">
        <f t="shared" si="67"/>
        <v>0</v>
      </c>
      <c r="EU131" s="90">
        <f t="shared" si="67"/>
        <v>0</v>
      </c>
      <c r="EV131" s="90">
        <f t="shared" si="67"/>
        <v>0</v>
      </c>
      <c r="EW131" s="90">
        <f t="shared" si="67"/>
        <v>0</v>
      </c>
      <c r="EX131" s="90">
        <f t="shared" si="67"/>
        <v>0</v>
      </c>
      <c r="EY131" s="90">
        <f t="shared" si="67"/>
        <v>0</v>
      </c>
      <c r="EZ131" s="91">
        <f t="shared" si="67"/>
        <v>0</v>
      </c>
    </row>
    <row r="132" spans="1:156">
      <c r="A132" s="11"/>
      <c r="B132" s="103" t="s">
        <v>232</v>
      </c>
      <c r="C132" s="108" t="s">
        <v>233</v>
      </c>
      <c r="D132" s="104"/>
      <c r="E132" s="104"/>
      <c r="F132" s="116"/>
      <c r="G132" s="75">
        <f t="shared" ref="G132:G143" si="68">SUM(H132:AD132)</f>
        <v>0</v>
      </c>
      <c r="H132" s="76">
        <f t="shared" ref="H132:W143" si="69">SUM(AE132,AW132,BO132,CG132,CY132,DQ132,EI132)</f>
        <v>0</v>
      </c>
      <c r="I132" s="77">
        <f t="shared" si="69"/>
        <v>0</v>
      </c>
      <c r="J132" s="77">
        <f t="shared" si="69"/>
        <v>0</v>
      </c>
      <c r="K132" s="77">
        <f t="shared" si="69"/>
        <v>0</v>
      </c>
      <c r="L132" s="78">
        <f t="shared" si="69"/>
        <v>0</v>
      </c>
      <c r="M132" s="78">
        <f t="shared" si="69"/>
        <v>0</v>
      </c>
      <c r="N132" s="78">
        <f t="shared" si="69"/>
        <v>0</v>
      </c>
      <c r="O132" s="78">
        <f t="shared" si="69"/>
        <v>0</v>
      </c>
      <c r="P132" s="78">
        <f t="shared" si="69"/>
        <v>0</v>
      </c>
      <c r="Q132" s="78">
        <f t="shared" si="69"/>
        <v>0</v>
      </c>
      <c r="R132" s="78">
        <f t="shared" si="69"/>
        <v>0</v>
      </c>
      <c r="S132" s="78">
        <f t="shared" si="69"/>
        <v>0</v>
      </c>
      <c r="T132" s="78">
        <f t="shared" si="69"/>
        <v>0</v>
      </c>
      <c r="U132" s="78">
        <f t="shared" si="69"/>
        <v>0</v>
      </c>
      <c r="V132" s="78">
        <f t="shared" si="69"/>
        <v>0</v>
      </c>
      <c r="W132" s="78">
        <f t="shared" si="69"/>
        <v>0</v>
      </c>
      <c r="X132" s="78">
        <f t="shared" ref="X132:Y143" si="70">SUM(AU132,BM132,CE132,CW132,DO132,EG132,EY132)</f>
        <v>0</v>
      </c>
      <c r="Y132" s="78">
        <f t="shared" si="70"/>
        <v>0</v>
      </c>
      <c r="Z132" s="79">
        <f>SIS064_F_Teisinespaslau1Elektrosenergi5</f>
        <v>0</v>
      </c>
      <c r="AA132" s="79">
        <f>SUM(SIS062_F_Teisinespaslau1Geriamojovande1,SIS063_F_Teisinespaslau1Geriamojovande1,SIS065_F_Teisinespaslau1Geriamojovande1)</f>
        <v>0</v>
      </c>
      <c r="AB132" s="79">
        <f>SUM(SIS062_F_Teisinespaslau1Paslaugaproduk8,SIS063_F_Teisinespaslau1Paslaugaproduk8,SIS065_F_Teisinespaslau1Paslaugaproduk8)</f>
        <v>0</v>
      </c>
      <c r="AC132" s="79">
        <f>SIS064_F_Teisinespaslau1Elektrosenergi6</f>
        <v>0</v>
      </c>
      <c r="AD132" s="79">
        <f>SUM(SIS062_F_Teisinespaslau1Paslaugaproduk9,SIS063_F_Teisinespaslau1Paslaugaproduk9,SIS065_F_Teisinespaslau1Paslaugaproduk9)</f>
        <v>0</v>
      </c>
      <c r="AE132" s="80">
        <v>0</v>
      </c>
      <c r="AF132" s="81">
        <v>0</v>
      </c>
      <c r="AG132" s="81">
        <v>0</v>
      </c>
      <c r="AH132" s="81">
        <v>0</v>
      </c>
      <c r="AI132" s="82">
        <v>0</v>
      </c>
      <c r="AJ132" s="82">
        <v>0</v>
      </c>
      <c r="AK132" s="82">
        <v>0</v>
      </c>
      <c r="AL132" s="82">
        <v>0</v>
      </c>
      <c r="AM132" s="82">
        <v>0</v>
      </c>
      <c r="AN132" s="82">
        <v>0</v>
      </c>
      <c r="AO132" s="82">
        <v>0</v>
      </c>
      <c r="AP132" s="82">
        <v>0</v>
      </c>
      <c r="AQ132" s="82">
        <v>0</v>
      </c>
      <c r="AR132" s="82">
        <v>0</v>
      </c>
      <c r="AS132" s="82">
        <v>0</v>
      </c>
      <c r="AT132" s="82">
        <v>0</v>
      </c>
      <c r="AU132" s="82">
        <v>0</v>
      </c>
      <c r="AV132" s="83">
        <v>0</v>
      </c>
      <c r="AW132" s="80"/>
      <c r="AX132" s="81"/>
      <c r="AY132" s="81"/>
      <c r="AZ132" s="81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3"/>
      <c r="BO132" s="80"/>
      <c r="BP132" s="81"/>
      <c r="BQ132" s="81"/>
      <c r="BR132" s="81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3"/>
      <c r="CG132" s="80"/>
      <c r="CH132" s="81"/>
      <c r="CI132" s="81"/>
      <c r="CJ132" s="81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3"/>
      <c r="CY132" s="80"/>
      <c r="CZ132" s="81"/>
      <c r="DA132" s="81"/>
      <c r="DB132" s="81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3"/>
      <c r="DQ132" s="80"/>
      <c r="DR132" s="81"/>
      <c r="DS132" s="81"/>
      <c r="DT132" s="81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3"/>
      <c r="EI132" s="80"/>
      <c r="EJ132" s="81"/>
      <c r="EK132" s="81"/>
      <c r="EL132" s="81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3"/>
    </row>
    <row r="133" spans="1:156">
      <c r="A133" s="11"/>
      <c r="B133" s="103" t="s">
        <v>234</v>
      </c>
      <c r="C133" s="108" t="s">
        <v>235</v>
      </c>
      <c r="D133" s="104"/>
      <c r="E133" s="104"/>
      <c r="F133" s="116"/>
      <c r="G133" s="75">
        <f t="shared" si="68"/>
        <v>0</v>
      </c>
      <c r="H133" s="76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8">
        <f t="shared" si="69"/>
        <v>0</v>
      </c>
      <c r="M133" s="78">
        <f t="shared" si="69"/>
        <v>0</v>
      </c>
      <c r="N133" s="78">
        <f t="shared" si="69"/>
        <v>0</v>
      </c>
      <c r="O133" s="78">
        <f t="shared" si="69"/>
        <v>0</v>
      </c>
      <c r="P133" s="78">
        <f t="shared" si="69"/>
        <v>0</v>
      </c>
      <c r="Q133" s="78">
        <f t="shared" si="69"/>
        <v>0</v>
      </c>
      <c r="R133" s="78">
        <f t="shared" si="69"/>
        <v>0</v>
      </c>
      <c r="S133" s="78">
        <f t="shared" si="69"/>
        <v>0</v>
      </c>
      <c r="T133" s="78">
        <f t="shared" si="69"/>
        <v>0</v>
      </c>
      <c r="U133" s="78">
        <f t="shared" si="69"/>
        <v>0</v>
      </c>
      <c r="V133" s="78">
        <f t="shared" si="69"/>
        <v>0</v>
      </c>
      <c r="W133" s="78">
        <f t="shared" si="69"/>
        <v>0</v>
      </c>
      <c r="X133" s="78">
        <f t="shared" si="70"/>
        <v>0</v>
      </c>
      <c r="Y133" s="78">
        <f t="shared" si="70"/>
        <v>0</v>
      </c>
      <c r="Z133" s="79">
        <f>SIS064_F_Konsultacinesp1Elektrosenergi5</f>
        <v>0</v>
      </c>
      <c r="AA133" s="79">
        <f>SUM(SIS062_F_Konsultacinesp1Geriamojovande1,SIS063_F_Konsultacinesp1Geriamojovande1,SIS065_F_Konsultacinesp1Geriamojovande1)</f>
        <v>0</v>
      </c>
      <c r="AB133" s="79">
        <f>SUM(SIS062_F_Konsultacinesp1Paslaugaproduk8,SIS063_F_Konsultacinesp1Paslaugaproduk8,SIS065_F_Konsultacinesp1Paslaugaproduk8)</f>
        <v>0</v>
      </c>
      <c r="AC133" s="79">
        <f>SIS064_F_Konsultacinesp1Elektrosenergi6</f>
        <v>0</v>
      </c>
      <c r="AD133" s="79">
        <f>SUM(SIS062_F_Konsultacinesp1Paslaugaproduk9,SIS063_F_Konsultacinesp1Paslaugaproduk9,SIS065_F_Konsultacinesp1Paslaugaproduk9)</f>
        <v>0</v>
      </c>
      <c r="AE133" s="80">
        <v>0</v>
      </c>
      <c r="AF133" s="81">
        <v>0</v>
      </c>
      <c r="AG133" s="81">
        <v>0</v>
      </c>
      <c r="AH133" s="81">
        <v>0</v>
      </c>
      <c r="AI133" s="82">
        <v>0</v>
      </c>
      <c r="AJ133" s="82">
        <v>0</v>
      </c>
      <c r="AK133" s="82">
        <v>0</v>
      </c>
      <c r="AL133" s="82">
        <v>0</v>
      </c>
      <c r="AM133" s="82">
        <v>0</v>
      </c>
      <c r="AN133" s="82">
        <v>0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2">
        <v>0</v>
      </c>
      <c r="AU133" s="82">
        <v>0</v>
      </c>
      <c r="AV133" s="83">
        <v>0</v>
      </c>
      <c r="AW133" s="80"/>
      <c r="AX133" s="81"/>
      <c r="AY133" s="81"/>
      <c r="AZ133" s="81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3"/>
      <c r="BO133" s="80"/>
      <c r="BP133" s="81"/>
      <c r="BQ133" s="81"/>
      <c r="BR133" s="81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3"/>
      <c r="CG133" s="80"/>
      <c r="CH133" s="81"/>
      <c r="CI133" s="81"/>
      <c r="CJ133" s="81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3"/>
      <c r="CY133" s="80"/>
      <c r="CZ133" s="81"/>
      <c r="DA133" s="81"/>
      <c r="DB133" s="81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3"/>
      <c r="DQ133" s="80"/>
      <c r="DR133" s="81"/>
      <c r="DS133" s="81"/>
      <c r="DT133" s="81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3"/>
      <c r="EI133" s="80"/>
      <c r="EJ133" s="81"/>
      <c r="EK133" s="81"/>
      <c r="EL133" s="81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3"/>
    </row>
    <row r="134" spans="1:156">
      <c r="A134" s="11"/>
      <c r="B134" s="103" t="s">
        <v>236</v>
      </c>
      <c r="C134" s="108" t="s">
        <v>237</v>
      </c>
      <c r="D134" s="104"/>
      <c r="E134" s="104"/>
      <c r="F134" s="116"/>
      <c r="G134" s="75">
        <f t="shared" si="68"/>
        <v>5712.18</v>
      </c>
      <c r="H134" s="76">
        <f t="shared" si="69"/>
        <v>4173.9301245671622</v>
      </c>
      <c r="I134" s="77">
        <f t="shared" si="69"/>
        <v>0</v>
      </c>
      <c r="J134" s="77">
        <f t="shared" si="69"/>
        <v>1.0356200712431927E-5</v>
      </c>
      <c r="K134" s="77">
        <f t="shared" si="69"/>
        <v>0</v>
      </c>
      <c r="L134" s="78">
        <f t="shared" si="69"/>
        <v>0</v>
      </c>
      <c r="M134" s="78">
        <f t="shared" si="69"/>
        <v>1023.6924549962957</v>
      </c>
      <c r="N134" s="78">
        <f t="shared" si="69"/>
        <v>0</v>
      </c>
      <c r="O134" s="78">
        <f t="shared" si="69"/>
        <v>0</v>
      </c>
      <c r="P134" s="78">
        <f t="shared" si="69"/>
        <v>124.01492493531474</v>
      </c>
      <c r="Q134" s="78">
        <f t="shared" si="69"/>
        <v>64.186712588039313</v>
      </c>
      <c r="R134" s="78">
        <f t="shared" si="69"/>
        <v>0</v>
      </c>
      <c r="S134" s="78">
        <f t="shared" si="69"/>
        <v>4.5263918591657495</v>
      </c>
      <c r="T134" s="78">
        <f t="shared" si="69"/>
        <v>0</v>
      </c>
      <c r="U134" s="78">
        <f t="shared" si="69"/>
        <v>0</v>
      </c>
      <c r="V134" s="78">
        <f t="shared" si="69"/>
        <v>0</v>
      </c>
      <c r="W134" s="78">
        <f t="shared" si="69"/>
        <v>0</v>
      </c>
      <c r="X134" s="78">
        <f t="shared" si="70"/>
        <v>0</v>
      </c>
      <c r="Y134" s="78">
        <f t="shared" si="70"/>
        <v>0</v>
      </c>
      <c r="Z134" s="79">
        <f>SIS064_F_Rysiupaslaugos1Elektrosenergi5</f>
        <v>0</v>
      </c>
      <c r="AA134" s="79">
        <f>SUM(SIS062_F_Rysiupaslaugos1Geriamojovande1,SIS063_F_Rysiupaslaugos1Geriamojovande1,SIS065_F_Rysiupaslaugos1Geriamojovande1)</f>
        <v>0</v>
      </c>
      <c r="AB134" s="79">
        <f>SUM(SIS062_F_Rysiupaslaugos1Paslaugaproduk8,SIS063_F_Rysiupaslaugos1Paslaugaproduk8,SIS065_F_Rysiupaslaugos1Paslaugaproduk8)</f>
        <v>0</v>
      </c>
      <c r="AC134" s="79">
        <f>SIS064_F_Rysiupaslaugos1Elektrosenergi6</f>
        <v>0</v>
      </c>
      <c r="AD134" s="79">
        <f>SUM(SIS062_F_Rysiupaslaugos1Paslaugaproduk9,SIS063_F_Rysiupaslaugos1Paslaugaproduk9,SIS065_F_Rysiupaslaugos1Paslaugaproduk9)</f>
        <v>321.82938069782233</v>
      </c>
      <c r="AE134" s="80">
        <v>4173.9301245671622</v>
      </c>
      <c r="AF134" s="81">
        <v>0</v>
      </c>
      <c r="AG134" s="81">
        <v>1.0356200712431927E-5</v>
      </c>
      <c r="AH134" s="81">
        <v>0</v>
      </c>
      <c r="AI134" s="82">
        <v>0</v>
      </c>
      <c r="AJ134" s="82">
        <v>1023.6924549962957</v>
      </c>
      <c r="AK134" s="82">
        <v>0</v>
      </c>
      <c r="AL134" s="82">
        <v>0</v>
      </c>
      <c r="AM134" s="82">
        <v>124.01492493531474</v>
      </c>
      <c r="AN134" s="82">
        <v>64.186712588039313</v>
      </c>
      <c r="AO134" s="82">
        <v>0</v>
      </c>
      <c r="AP134" s="82">
        <v>4.5263918591657495</v>
      </c>
      <c r="AQ134" s="82">
        <v>0</v>
      </c>
      <c r="AR134" s="82">
        <v>0</v>
      </c>
      <c r="AS134" s="82">
        <v>0</v>
      </c>
      <c r="AT134" s="82">
        <v>0</v>
      </c>
      <c r="AU134" s="82">
        <v>0</v>
      </c>
      <c r="AV134" s="83">
        <v>0</v>
      </c>
      <c r="AW134" s="80"/>
      <c r="AX134" s="81"/>
      <c r="AY134" s="81"/>
      <c r="AZ134" s="81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3"/>
      <c r="BO134" s="80"/>
      <c r="BP134" s="81"/>
      <c r="BQ134" s="81"/>
      <c r="BR134" s="81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3"/>
      <c r="CG134" s="80"/>
      <c r="CH134" s="81"/>
      <c r="CI134" s="81"/>
      <c r="CJ134" s="81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3"/>
      <c r="CY134" s="80"/>
      <c r="CZ134" s="81"/>
      <c r="DA134" s="81"/>
      <c r="DB134" s="81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3"/>
      <c r="DQ134" s="80"/>
      <c r="DR134" s="81"/>
      <c r="DS134" s="81"/>
      <c r="DT134" s="81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3"/>
      <c r="EI134" s="80"/>
      <c r="EJ134" s="81"/>
      <c r="EK134" s="81"/>
      <c r="EL134" s="81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3"/>
    </row>
    <row r="135" spans="1:156">
      <c r="A135" s="11"/>
      <c r="B135" s="103" t="s">
        <v>238</v>
      </c>
      <c r="C135" s="108" t="s">
        <v>239</v>
      </c>
      <c r="D135" s="104"/>
      <c r="E135" s="104"/>
      <c r="F135" s="116"/>
      <c r="G135" s="75">
        <f t="shared" si="68"/>
        <v>0</v>
      </c>
      <c r="H135" s="76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8">
        <f t="shared" si="69"/>
        <v>0</v>
      </c>
      <c r="M135" s="78">
        <f t="shared" si="69"/>
        <v>0</v>
      </c>
      <c r="N135" s="78">
        <f t="shared" si="69"/>
        <v>0</v>
      </c>
      <c r="O135" s="78">
        <f t="shared" si="69"/>
        <v>0</v>
      </c>
      <c r="P135" s="78">
        <f t="shared" si="69"/>
        <v>0</v>
      </c>
      <c r="Q135" s="78">
        <f t="shared" si="69"/>
        <v>0</v>
      </c>
      <c r="R135" s="78">
        <f t="shared" si="69"/>
        <v>0</v>
      </c>
      <c r="S135" s="78">
        <f t="shared" si="69"/>
        <v>0</v>
      </c>
      <c r="T135" s="78">
        <f t="shared" si="69"/>
        <v>0</v>
      </c>
      <c r="U135" s="78">
        <f t="shared" si="69"/>
        <v>0</v>
      </c>
      <c r="V135" s="78">
        <f t="shared" si="69"/>
        <v>0</v>
      </c>
      <c r="W135" s="78">
        <f t="shared" si="69"/>
        <v>0</v>
      </c>
      <c r="X135" s="78">
        <f t="shared" si="70"/>
        <v>0</v>
      </c>
      <c r="Y135" s="78">
        <f t="shared" si="70"/>
        <v>0</v>
      </c>
      <c r="Z135" s="79">
        <f>SIS064_F_Pastopasiuntin1Elektrosenergi5</f>
        <v>0</v>
      </c>
      <c r="AA135" s="79">
        <f>SUM(SIS062_F_Pastopasiuntin1Geriamojovande1,SIS063_F_Pastopasiuntin1Geriamojovande1,SIS065_F_Pastopasiuntin1Geriamojovande1)</f>
        <v>0</v>
      </c>
      <c r="AB135" s="79">
        <f>SUM(SIS062_F_Pastopasiuntin1Paslaugaproduk8,SIS063_F_Pastopasiuntin1Paslaugaproduk8,SIS065_F_Pastopasiuntin1Paslaugaproduk8)</f>
        <v>0</v>
      </c>
      <c r="AC135" s="79">
        <f>SIS064_F_Pastopasiuntin1Elektrosenergi6</f>
        <v>0</v>
      </c>
      <c r="AD135" s="79">
        <f>SUM(SIS062_F_Pastopasiuntin1Paslaugaproduk9,SIS063_F_Pastopasiuntin1Paslaugaproduk9,SIS065_F_Pastopasiuntin1Paslaugaproduk9)</f>
        <v>0</v>
      </c>
      <c r="AE135" s="80">
        <v>0</v>
      </c>
      <c r="AF135" s="81">
        <v>0</v>
      </c>
      <c r="AG135" s="81">
        <v>0</v>
      </c>
      <c r="AH135" s="81">
        <v>0</v>
      </c>
      <c r="AI135" s="82">
        <v>0</v>
      </c>
      <c r="AJ135" s="82">
        <v>0</v>
      </c>
      <c r="AK135" s="82">
        <v>0</v>
      </c>
      <c r="AL135" s="82">
        <v>0</v>
      </c>
      <c r="AM135" s="82">
        <v>0</v>
      </c>
      <c r="AN135" s="82">
        <v>0</v>
      </c>
      <c r="AO135" s="82">
        <v>0</v>
      </c>
      <c r="AP135" s="82">
        <v>0</v>
      </c>
      <c r="AQ135" s="82">
        <v>0</v>
      </c>
      <c r="AR135" s="82">
        <v>0</v>
      </c>
      <c r="AS135" s="82">
        <v>0</v>
      </c>
      <c r="AT135" s="82">
        <v>0</v>
      </c>
      <c r="AU135" s="82">
        <v>0</v>
      </c>
      <c r="AV135" s="83">
        <v>0</v>
      </c>
      <c r="AW135" s="80"/>
      <c r="AX135" s="81"/>
      <c r="AY135" s="81"/>
      <c r="AZ135" s="81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3"/>
      <c r="BO135" s="80"/>
      <c r="BP135" s="81"/>
      <c r="BQ135" s="81"/>
      <c r="BR135" s="81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3"/>
      <c r="CG135" s="80"/>
      <c r="CH135" s="81"/>
      <c r="CI135" s="81"/>
      <c r="CJ135" s="81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3"/>
      <c r="CY135" s="80"/>
      <c r="CZ135" s="81"/>
      <c r="DA135" s="81"/>
      <c r="DB135" s="81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3"/>
      <c r="DQ135" s="80"/>
      <c r="DR135" s="81"/>
      <c r="DS135" s="81"/>
      <c r="DT135" s="81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3"/>
      <c r="EI135" s="80"/>
      <c r="EJ135" s="81"/>
      <c r="EK135" s="81"/>
      <c r="EL135" s="81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3"/>
    </row>
    <row r="136" spans="1:156">
      <c r="A136" s="11"/>
      <c r="B136" s="103" t="s">
        <v>240</v>
      </c>
      <c r="C136" s="108" t="s">
        <v>241</v>
      </c>
      <c r="D136" s="104"/>
      <c r="E136" s="104"/>
      <c r="F136" s="116"/>
      <c r="G136" s="75">
        <f t="shared" si="68"/>
        <v>2298.4600000000005</v>
      </c>
      <c r="H136" s="76">
        <f t="shared" si="69"/>
        <v>1390.8599349432166</v>
      </c>
      <c r="I136" s="77">
        <f t="shared" si="69"/>
        <v>0</v>
      </c>
      <c r="J136" s="77">
        <f t="shared" si="69"/>
        <v>6.2269629441315858E-6</v>
      </c>
      <c r="K136" s="77">
        <f t="shared" si="69"/>
        <v>0</v>
      </c>
      <c r="L136" s="78">
        <f t="shared" si="69"/>
        <v>0</v>
      </c>
      <c r="M136" s="78">
        <f t="shared" si="69"/>
        <v>598.20764609372259</v>
      </c>
      <c r="N136" s="78">
        <f t="shared" si="69"/>
        <v>0</v>
      </c>
      <c r="O136" s="78">
        <f t="shared" si="69"/>
        <v>0</v>
      </c>
      <c r="P136" s="78">
        <f t="shared" si="69"/>
        <v>74.567533358488035</v>
      </c>
      <c r="Q136" s="78">
        <f t="shared" si="69"/>
        <v>38.594103367613009</v>
      </c>
      <c r="R136" s="78">
        <f t="shared" si="69"/>
        <v>0</v>
      </c>
      <c r="S136" s="78">
        <f t="shared" si="69"/>
        <v>2.721623031485763</v>
      </c>
      <c r="T136" s="78">
        <f t="shared" si="69"/>
        <v>0</v>
      </c>
      <c r="U136" s="78">
        <f t="shared" si="69"/>
        <v>0</v>
      </c>
      <c r="V136" s="78">
        <f t="shared" si="69"/>
        <v>0</v>
      </c>
      <c r="W136" s="78">
        <f t="shared" si="69"/>
        <v>0</v>
      </c>
      <c r="X136" s="78">
        <f t="shared" si="70"/>
        <v>0</v>
      </c>
      <c r="Y136" s="78">
        <f t="shared" si="70"/>
        <v>0</v>
      </c>
      <c r="Z136" s="79">
        <f>SIS064_F_Kanceliariness1Elektrosenergi5</f>
        <v>0</v>
      </c>
      <c r="AA136" s="79">
        <f>SUM(SIS062_F_Kanceliariness1Geriamojovande1,SIS063_F_Kanceliariness1Geriamojovande1,SIS065_F_Kanceliariness1Geriamojovande1)</f>
        <v>0</v>
      </c>
      <c r="AB136" s="79">
        <f>SUM(SIS062_F_Kanceliariness1Paslaugaproduk8,SIS063_F_Kanceliariness1Paslaugaproduk8,SIS065_F_Kanceliariness1Paslaugaproduk8)</f>
        <v>0</v>
      </c>
      <c r="AC136" s="79">
        <f>SIS064_F_Kanceliariness1Elektrosenergi6</f>
        <v>0</v>
      </c>
      <c r="AD136" s="79">
        <f>SUM(SIS062_F_Kanceliariness1Paslaugaproduk9,SIS063_F_Kanceliariness1Paslaugaproduk9,SIS065_F_Kanceliariness1Paslaugaproduk9)</f>
        <v>193.50915297851128</v>
      </c>
      <c r="AE136" s="80">
        <v>1390.8599349432166</v>
      </c>
      <c r="AF136" s="81">
        <v>0</v>
      </c>
      <c r="AG136" s="81">
        <v>6.2269629441315858E-6</v>
      </c>
      <c r="AH136" s="81">
        <v>0</v>
      </c>
      <c r="AI136" s="82">
        <v>0</v>
      </c>
      <c r="AJ136" s="82">
        <v>598.20764609372259</v>
      </c>
      <c r="AK136" s="82">
        <v>0</v>
      </c>
      <c r="AL136" s="82">
        <v>0</v>
      </c>
      <c r="AM136" s="82">
        <v>74.567533358488035</v>
      </c>
      <c r="AN136" s="82">
        <v>38.594103367613009</v>
      </c>
      <c r="AO136" s="82">
        <v>0</v>
      </c>
      <c r="AP136" s="82">
        <v>2.721623031485763</v>
      </c>
      <c r="AQ136" s="82">
        <v>0</v>
      </c>
      <c r="AR136" s="82">
        <v>0</v>
      </c>
      <c r="AS136" s="82">
        <v>0</v>
      </c>
      <c r="AT136" s="82">
        <v>0</v>
      </c>
      <c r="AU136" s="82">
        <v>0</v>
      </c>
      <c r="AV136" s="83">
        <v>0</v>
      </c>
      <c r="AW136" s="80"/>
      <c r="AX136" s="81"/>
      <c r="AY136" s="81"/>
      <c r="AZ136" s="81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3"/>
      <c r="BO136" s="80"/>
      <c r="BP136" s="81"/>
      <c r="BQ136" s="81"/>
      <c r="BR136" s="81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3"/>
      <c r="CG136" s="80"/>
      <c r="CH136" s="81"/>
      <c r="CI136" s="81"/>
      <c r="CJ136" s="81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3"/>
      <c r="CY136" s="80"/>
      <c r="CZ136" s="81"/>
      <c r="DA136" s="81"/>
      <c r="DB136" s="81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3"/>
      <c r="DQ136" s="80"/>
      <c r="DR136" s="81"/>
      <c r="DS136" s="81"/>
      <c r="DT136" s="81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3"/>
      <c r="EI136" s="80"/>
      <c r="EJ136" s="81"/>
      <c r="EK136" s="81"/>
      <c r="EL136" s="81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3"/>
    </row>
    <row r="137" spans="1:156">
      <c r="A137" s="11"/>
      <c r="B137" s="103" t="s">
        <v>242</v>
      </c>
      <c r="C137" s="108" t="s">
        <v>243</v>
      </c>
      <c r="D137" s="104"/>
      <c r="E137" s="104"/>
      <c r="F137" s="116"/>
      <c r="G137" s="75">
        <f t="shared" si="68"/>
        <v>2368.7800000000007</v>
      </c>
      <c r="H137" s="76">
        <f t="shared" si="69"/>
        <v>1433.4124573387369</v>
      </c>
      <c r="I137" s="77">
        <f t="shared" si="69"/>
        <v>0</v>
      </c>
      <c r="J137" s="77">
        <f t="shared" si="69"/>
        <v>6.4174731267022353E-6</v>
      </c>
      <c r="K137" s="77">
        <f t="shared" si="69"/>
        <v>0</v>
      </c>
      <c r="L137" s="78">
        <f t="shared" si="69"/>
        <v>0</v>
      </c>
      <c r="M137" s="78">
        <f t="shared" si="69"/>
        <v>616.50944889790924</v>
      </c>
      <c r="N137" s="78">
        <f t="shared" si="69"/>
        <v>0</v>
      </c>
      <c r="O137" s="78">
        <f t="shared" si="69"/>
        <v>0</v>
      </c>
      <c r="P137" s="78">
        <f t="shared" si="69"/>
        <v>76.848882151057367</v>
      </c>
      <c r="Q137" s="78">
        <f t="shared" si="69"/>
        <v>39.774866726040202</v>
      </c>
      <c r="R137" s="78">
        <f t="shared" si="69"/>
        <v>0</v>
      </c>
      <c r="S137" s="78">
        <f t="shared" si="69"/>
        <v>2.8048894496849397</v>
      </c>
      <c r="T137" s="78">
        <f t="shared" si="69"/>
        <v>0</v>
      </c>
      <c r="U137" s="78">
        <f t="shared" si="69"/>
        <v>0</v>
      </c>
      <c r="V137" s="78">
        <f t="shared" si="69"/>
        <v>0</v>
      </c>
      <c r="W137" s="78">
        <f t="shared" si="69"/>
        <v>0</v>
      </c>
      <c r="X137" s="78">
        <f t="shared" si="70"/>
        <v>0</v>
      </c>
      <c r="Y137" s="78">
        <f t="shared" si="70"/>
        <v>0</v>
      </c>
      <c r="Z137" s="79">
        <f>SIS064_F_Orginventoriau1Elektrosenergi5</f>
        <v>0</v>
      </c>
      <c r="AA137" s="79">
        <f>SUM(SIS062_F_Orginventoriau1Geriamojovande1,SIS063_F_Orginventoriau1Geriamojovande1,SIS065_F_Orginventoriau1Geriamojovande1)</f>
        <v>0</v>
      </c>
      <c r="AB137" s="79">
        <f>SUM(SIS062_F_Orginventoriau1Paslaugaproduk8,SIS063_F_Orginventoriau1Paslaugaproduk8,SIS065_F_Orginventoriau1Paslaugaproduk8)</f>
        <v>0</v>
      </c>
      <c r="AC137" s="79">
        <f>SIS064_F_Orginventoriau1Elektrosenergi6</f>
        <v>0</v>
      </c>
      <c r="AD137" s="79">
        <f>SUM(SIS062_F_Orginventoriau1Paslaugaproduk9,SIS063_F_Orginventoriau1Paslaugaproduk9,SIS065_F_Orginventoriau1Paslaugaproduk9)</f>
        <v>199.42944901909885</v>
      </c>
      <c r="AE137" s="80">
        <v>1433.4124573387369</v>
      </c>
      <c r="AF137" s="81">
        <v>0</v>
      </c>
      <c r="AG137" s="81">
        <v>6.4174731267022353E-6</v>
      </c>
      <c r="AH137" s="81">
        <v>0</v>
      </c>
      <c r="AI137" s="82">
        <v>0</v>
      </c>
      <c r="AJ137" s="82">
        <v>616.50944889790924</v>
      </c>
      <c r="AK137" s="82">
        <v>0</v>
      </c>
      <c r="AL137" s="82">
        <v>0</v>
      </c>
      <c r="AM137" s="82">
        <v>76.848882151057367</v>
      </c>
      <c r="AN137" s="82">
        <v>39.774866726040202</v>
      </c>
      <c r="AO137" s="82">
        <v>0</v>
      </c>
      <c r="AP137" s="82">
        <v>2.8048894496849397</v>
      </c>
      <c r="AQ137" s="82">
        <v>0</v>
      </c>
      <c r="AR137" s="82">
        <v>0</v>
      </c>
      <c r="AS137" s="82">
        <v>0</v>
      </c>
      <c r="AT137" s="82">
        <v>0</v>
      </c>
      <c r="AU137" s="82">
        <v>0</v>
      </c>
      <c r="AV137" s="83">
        <v>0</v>
      </c>
      <c r="AW137" s="80"/>
      <c r="AX137" s="81"/>
      <c r="AY137" s="81"/>
      <c r="AZ137" s="81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3"/>
      <c r="BO137" s="80"/>
      <c r="BP137" s="81"/>
      <c r="BQ137" s="81"/>
      <c r="BR137" s="81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3"/>
      <c r="CG137" s="80"/>
      <c r="CH137" s="81"/>
      <c r="CI137" s="81"/>
      <c r="CJ137" s="81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3"/>
      <c r="CY137" s="80"/>
      <c r="CZ137" s="81"/>
      <c r="DA137" s="81"/>
      <c r="DB137" s="81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3"/>
      <c r="DQ137" s="80"/>
      <c r="DR137" s="81"/>
      <c r="DS137" s="81"/>
      <c r="DT137" s="81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3"/>
      <c r="EI137" s="80"/>
      <c r="EJ137" s="81"/>
      <c r="EK137" s="81"/>
      <c r="EL137" s="81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3"/>
    </row>
    <row r="138" spans="1:156">
      <c r="A138" s="11"/>
      <c r="B138" s="103" t="s">
        <v>244</v>
      </c>
      <c r="C138" s="108" t="s">
        <v>245</v>
      </c>
      <c r="D138" s="104"/>
      <c r="E138" s="104"/>
      <c r="F138" s="116"/>
      <c r="G138" s="75">
        <f t="shared" si="68"/>
        <v>2396.6100000000006</v>
      </c>
      <c r="H138" s="76">
        <f t="shared" si="69"/>
        <v>1450.2531384858828</v>
      </c>
      <c r="I138" s="77">
        <f t="shared" si="69"/>
        <v>0</v>
      </c>
      <c r="J138" s="77">
        <f t="shared" si="69"/>
        <v>6.4928698613572573E-6</v>
      </c>
      <c r="K138" s="77">
        <f t="shared" si="69"/>
        <v>0</v>
      </c>
      <c r="L138" s="78">
        <f t="shared" si="69"/>
        <v>0</v>
      </c>
      <c r="M138" s="78">
        <f t="shared" si="69"/>
        <v>623.7526111851746</v>
      </c>
      <c r="N138" s="78">
        <f t="shared" si="69"/>
        <v>0</v>
      </c>
      <c r="O138" s="78">
        <f t="shared" si="69"/>
        <v>0</v>
      </c>
      <c r="P138" s="78">
        <f t="shared" si="69"/>
        <v>77.751753836171176</v>
      </c>
      <c r="Q138" s="78">
        <f t="shared" si="69"/>
        <v>40.242168265645262</v>
      </c>
      <c r="R138" s="78">
        <f t="shared" si="69"/>
        <v>0</v>
      </c>
      <c r="S138" s="78">
        <f t="shared" si="69"/>
        <v>2.8378431530194543</v>
      </c>
      <c r="T138" s="78">
        <f t="shared" si="69"/>
        <v>0</v>
      </c>
      <c r="U138" s="78">
        <f t="shared" si="69"/>
        <v>0</v>
      </c>
      <c r="V138" s="78">
        <f t="shared" si="69"/>
        <v>0</v>
      </c>
      <c r="W138" s="78">
        <f t="shared" si="69"/>
        <v>0</v>
      </c>
      <c r="X138" s="78">
        <f t="shared" si="70"/>
        <v>0</v>
      </c>
      <c r="Y138" s="78">
        <f t="shared" si="70"/>
        <v>0</v>
      </c>
      <c r="Z138" s="79">
        <f>SIS064_F_Profesineliter1Elektrosenergi5</f>
        <v>0</v>
      </c>
      <c r="AA138" s="79">
        <f>SUM(SIS062_F_Profesineliter1Geriamojovande1,SIS063_F_Profesineliter1Geriamojovande1,SIS065_F_Profesineliter1Geriamojovande1)</f>
        <v>0</v>
      </c>
      <c r="AB138" s="79">
        <f>SUM(SIS062_F_Profesineliter1Paslaugaproduk8,SIS063_F_Profesineliter1Paslaugaproduk8,SIS065_F_Profesineliter1Paslaugaproduk8)</f>
        <v>0</v>
      </c>
      <c r="AC138" s="79">
        <f>SIS064_F_Profesineliter1Elektrosenergi6</f>
        <v>0</v>
      </c>
      <c r="AD138" s="79">
        <f>SUM(SIS062_F_Profesineliter1Paslaugaproduk9,SIS063_F_Profesineliter1Paslaugaproduk9,SIS065_F_Profesineliter1Paslaugaproduk9)</f>
        <v>201.77247858123695</v>
      </c>
      <c r="AE138" s="80">
        <v>1450.2531384858828</v>
      </c>
      <c r="AF138" s="81">
        <v>0</v>
      </c>
      <c r="AG138" s="81">
        <v>6.4928698613572573E-6</v>
      </c>
      <c r="AH138" s="81">
        <v>0</v>
      </c>
      <c r="AI138" s="82">
        <v>0</v>
      </c>
      <c r="AJ138" s="82">
        <v>623.7526111851746</v>
      </c>
      <c r="AK138" s="82">
        <v>0</v>
      </c>
      <c r="AL138" s="82">
        <v>0</v>
      </c>
      <c r="AM138" s="82">
        <v>77.751753836171176</v>
      </c>
      <c r="AN138" s="82">
        <v>40.242168265645262</v>
      </c>
      <c r="AO138" s="82">
        <v>0</v>
      </c>
      <c r="AP138" s="82">
        <v>2.8378431530194543</v>
      </c>
      <c r="AQ138" s="82">
        <v>0</v>
      </c>
      <c r="AR138" s="82">
        <v>0</v>
      </c>
      <c r="AS138" s="82">
        <v>0</v>
      </c>
      <c r="AT138" s="82">
        <v>0</v>
      </c>
      <c r="AU138" s="82">
        <v>0</v>
      </c>
      <c r="AV138" s="83">
        <v>0</v>
      </c>
      <c r="AW138" s="80"/>
      <c r="AX138" s="81"/>
      <c r="AY138" s="81"/>
      <c r="AZ138" s="81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3"/>
      <c r="BO138" s="80"/>
      <c r="BP138" s="81"/>
      <c r="BQ138" s="81"/>
      <c r="BR138" s="81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3"/>
      <c r="CG138" s="80"/>
      <c r="CH138" s="81"/>
      <c r="CI138" s="81"/>
      <c r="CJ138" s="81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3"/>
      <c r="CY138" s="80"/>
      <c r="CZ138" s="81"/>
      <c r="DA138" s="81"/>
      <c r="DB138" s="81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3"/>
      <c r="DQ138" s="80"/>
      <c r="DR138" s="81"/>
      <c r="DS138" s="81"/>
      <c r="DT138" s="81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3"/>
      <c r="EI138" s="80"/>
      <c r="EJ138" s="81"/>
      <c r="EK138" s="81"/>
      <c r="EL138" s="81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3"/>
    </row>
    <row r="139" spans="1:156">
      <c r="A139" s="11"/>
      <c r="B139" s="103" t="s">
        <v>246</v>
      </c>
      <c r="C139" s="108" t="s">
        <v>247</v>
      </c>
      <c r="D139" s="104"/>
      <c r="E139" s="104"/>
      <c r="F139" s="116"/>
      <c r="G139" s="75">
        <f t="shared" si="68"/>
        <v>1070.4100000000001</v>
      </c>
      <c r="H139" s="76">
        <f t="shared" si="69"/>
        <v>618.62726351200354</v>
      </c>
      <c r="I139" s="77">
        <f t="shared" si="69"/>
        <v>0</v>
      </c>
      <c r="J139" s="77">
        <f t="shared" si="69"/>
        <v>2.7696311823634787E-6</v>
      </c>
      <c r="K139" s="77">
        <f t="shared" si="69"/>
        <v>0</v>
      </c>
      <c r="L139" s="78">
        <f t="shared" si="69"/>
        <v>0</v>
      </c>
      <c r="M139" s="78">
        <f t="shared" si="69"/>
        <v>266.07104699584653</v>
      </c>
      <c r="N139" s="78">
        <f t="shared" si="69"/>
        <v>0</v>
      </c>
      <c r="O139" s="78">
        <f t="shared" si="69"/>
        <v>0</v>
      </c>
      <c r="P139" s="78">
        <f t="shared" si="69"/>
        <v>81.266178670812593</v>
      </c>
      <c r="Q139" s="78">
        <f t="shared" si="69"/>
        <v>17.165901435632751</v>
      </c>
      <c r="R139" s="78">
        <f t="shared" si="69"/>
        <v>0</v>
      </c>
      <c r="S139" s="78">
        <f t="shared" si="69"/>
        <v>1.2105246301080768</v>
      </c>
      <c r="T139" s="78">
        <f t="shared" si="69"/>
        <v>0</v>
      </c>
      <c r="U139" s="78">
        <f t="shared" si="69"/>
        <v>0</v>
      </c>
      <c r="V139" s="78">
        <f t="shared" si="69"/>
        <v>0</v>
      </c>
      <c r="W139" s="78">
        <f t="shared" si="69"/>
        <v>0</v>
      </c>
      <c r="X139" s="78">
        <f t="shared" si="70"/>
        <v>0</v>
      </c>
      <c r="Y139" s="78">
        <f t="shared" si="70"/>
        <v>0</v>
      </c>
      <c r="Z139" s="120">
        <f>SIS064_F_Komunalinespas1Elektrosenergi5+IFERROR((SIS065_F_Priskirtutiesi1Elektrosenergi1/SIS065_F_Priskirtutiesi1Isvisobendruju1*SIS064_F_Isviso3Elektrossavoms1),0)</f>
        <v>0</v>
      </c>
      <c r="AA139" s="120">
        <f>SUM(SIS062_F_Komunalinespas1Geriamojovande1,SIS063_F_Komunalinespas1Geriamojovande1,SIS065_F_Komunalinespas1Geriamojovande1)+IFERROR((SIS065_F_Priskirtutiesi1Geriamojovande1/SIS065_F_Priskirtutiesi1Isvisobendruju1*SIS064_F_Isviso3Elektrossavoms1),0)</f>
        <v>0</v>
      </c>
      <c r="AB139" s="120">
        <f>SUM(SIS062_F_Komunalinespas1Paslaugaproduk8,SIS063_F_Komunalinespas1Paslaugaproduk8,SIS065_F_Komunalinespas1Paslaugaproduk8)+IFERROR((SIS065_F_Priskirtutiesi1Paslaugaproduk8/SIS065_F_Priskirtutiesi1Isvisobendruju1*SIS064_F_Isviso3Elektrossavoms1),0)</f>
        <v>0</v>
      </c>
      <c r="AC139" s="120">
        <f>SIS064_F_Komunalinespas1Elektrosenergi6+IFERROR((SIS065_F_Priskirtutiesi1Elektrosenergi2/SIS065_F_Priskirtutiesi1Isvisobendruju1*SIS064_F_Isviso3Elektrossavoms1),0)</f>
        <v>0</v>
      </c>
      <c r="AD139" s="120">
        <f>SUM(SIS062_F_Komunalinespas1Paslaugaproduk9,SIS063_F_Komunalinespas1Paslaugaproduk9,SIS065_F_Komunalinespas1Paslaugaproduk9)+IFERROR((SIS065_F_Priskirtutiesi1Paslaugaproduk9/SIS065_F_Priskirtutiesi1Isvisobendruju1*SIS064_F_Isviso3Elektrossavoms1),0)</f>
        <v>86.069081985965312</v>
      </c>
      <c r="AE139" s="80">
        <v>618.62726351200354</v>
      </c>
      <c r="AF139" s="81">
        <v>0</v>
      </c>
      <c r="AG139" s="81">
        <v>2.7696311823634787E-6</v>
      </c>
      <c r="AH139" s="81">
        <v>0</v>
      </c>
      <c r="AI139" s="82">
        <v>0</v>
      </c>
      <c r="AJ139" s="82">
        <v>266.07104699584653</v>
      </c>
      <c r="AK139" s="82">
        <v>0</v>
      </c>
      <c r="AL139" s="82">
        <v>0</v>
      </c>
      <c r="AM139" s="82">
        <v>81.266178670812593</v>
      </c>
      <c r="AN139" s="82">
        <v>17.165901435632751</v>
      </c>
      <c r="AO139" s="82">
        <v>0</v>
      </c>
      <c r="AP139" s="82">
        <v>1.2105246301080768</v>
      </c>
      <c r="AQ139" s="82">
        <v>0</v>
      </c>
      <c r="AR139" s="82">
        <v>0</v>
      </c>
      <c r="AS139" s="82">
        <v>0</v>
      </c>
      <c r="AT139" s="82">
        <v>0</v>
      </c>
      <c r="AU139" s="82">
        <v>0</v>
      </c>
      <c r="AV139" s="83">
        <v>0</v>
      </c>
      <c r="AW139" s="121"/>
      <c r="AX139" s="122"/>
      <c r="AY139" s="123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4"/>
      <c r="BO139" s="121"/>
      <c r="BP139" s="122"/>
      <c r="BQ139" s="123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4"/>
      <c r="CG139" s="121"/>
      <c r="CH139" s="122"/>
      <c r="CI139" s="123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4"/>
      <c r="CY139" s="121"/>
      <c r="CZ139" s="122"/>
      <c r="DA139" s="123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4"/>
      <c r="DQ139" s="121"/>
      <c r="DR139" s="122"/>
      <c r="DS139" s="123"/>
      <c r="DT139" s="122"/>
      <c r="DU139" s="122"/>
      <c r="DV139" s="122"/>
      <c r="DW139" s="122"/>
      <c r="DX139" s="122"/>
      <c r="DY139" s="122"/>
      <c r="DZ139" s="122"/>
      <c r="EA139" s="122"/>
      <c r="EB139" s="122"/>
      <c r="EC139" s="122"/>
      <c r="ED139" s="122"/>
      <c r="EE139" s="122"/>
      <c r="EF139" s="122"/>
      <c r="EG139" s="122"/>
      <c r="EH139" s="124"/>
      <c r="EI139" s="121"/>
      <c r="EJ139" s="122"/>
      <c r="EK139" s="123"/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2"/>
      <c r="EV139" s="122"/>
      <c r="EW139" s="122"/>
      <c r="EX139" s="122"/>
      <c r="EY139" s="122"/>
      <c r="EZ139" s="124"/>
    </row>
    <row r="140" spans="1:156">
      <c r="A140" s="11"/>
      <c r="B140" s="103" t="s">
        <v>248</v>
      </c>
      <c r="C140" s="108" t="s">
        <v>249</v>
      </c>
      <c r="D140" s="104"/>
      <c r="E140" s="104"/>
      <c r="F140" s="116"/>
      <c r="G140" s="75">
        <f t="shared" si="68"/>
        <v>2051.08</v>
      </c>
      <c r="H140" s="76">
        <f t="shared" si="69"/>
        <v>1241.1636466866216</v>
      </c>
      <c r="I140" s="77">
        <f t="shared" si="69"/>
        <v>0</v>
      </c>
      <c r="J140" s="77">
        <f t="shared" si="69"/>
        <v>5.5567637267776743E-6</v>
      </c>
      <c r="K140" s="77">
        <f t="shared" si="69"/>
        <v>0</v>
      </c>
      <c r="L140" s="78">
        <f t="shared" si="69"/>
        <v>0</v>
      </c>
      <c r="M140" s="78">
        <f t="shared" si="69"/>
        <v>533.8234029523735</v>
      </c>
      <c r="N140" s="78">
        <f t="shared" si="69"/>
        <v>0</v>
      </c>
      <c r="O140" s="78">
        <f t="shared" si="69"/>
        <v>0</v>
      </c>
      <c r="P140" s="78">
        <f t="shared" si="69"/>
        <v>66.54193517438965</v>
      </c>
      <c r="Q140" s="78">
        <f t="shared" si="69"/>
        <v>34.440274590483931</v>
      </c>
      <c r="R140" s="78">
        <f t="shared" si="69"/>
        <v>0</v>
      </c>
      <c r="S140" s="78">
        <f t="shared" si="69"/>
        <v>2.4286985927185243</v>
      </c>
      <c r="T140" s="78">
        <f t="shared" si="69"/>
        <v>0</v>
      </c>
      <c r="U140" s="78">
        <f t="shared" si="69"/>
        <v>0</v>
      </c>
      <c r="V140" s="78">
        <f t="shared" si="69"/>
        <v>0</v>
      </c>
      <c r="W140" s="78">
        <f t="shared" si="69"/>
        <v>0</v>
      </c>
      <c r="X140" s="78">
        <f t="shared" si="70"/>
        <v>0</v>
      </c>
      <c r="Y140" s="78">
        <f t="shared" si="70"/>
        <v>0</v>
      </c>
      <c r="Z140" s="79">
        <f>SIS064_F_Patalpuprieziu1Elektrosenergi5</f>
        <v>0</v>
      </c>
      <c r="AA140" s="79">
        <f>SUM(SIS062_F_Patalpuprieziu1Geriamojovande1,SIS063_F_Patalpuprieziu1Geriamojovande1,SIS065_F_Patalpuprieziu1Geriamojovande1)</f>
        <v>0</v>
      </c>
      <c r="AB140" s="79">
        <f>SUM(SIS062_F_Patalpuprieziu1Paslaugaproduk8,SIS063_F_Patalpuprieziu1Paslaugaproduk8,SIS065_F_Patalpuprieziu1Paslaugaproduk8)</f>
        <v>0</v>
      </c>
      <c r="AC140" s="79">
        <f>SIS064_F_Patalpuprieziu1Elektrosenergi6</f>
        <v>0</v>
      </c>
      <c r="AD140" s="79">
        <f>SUM(SIS062_F_Patalpuprieziu1Paslaugaproduk9,SIS063_F_Patalpuprieziu1Paslaugaproduk9,SIS065_F_Patalpuprieziu1Paslaugaproduk9)</f>
        <v>172.68203644664902</v>
      </c>
      <c r="AE140" s="80">
        <v>1241.1636466866216</v>
      </c>
      <c r="AF140" s="81">
        <v>0</v>
      </c>
      <c r="AG140" s="81">
        <v>5.5567637267776743E-6</v>
      </c>
      <c r="AH140" s="81">
        <v>0</v>
      </c>
      <c r="AI140" s="82">
        <v>0</v>
      </c>
      <c r="AJ140" s="82">
        <v>533.8234029523735</v>
      </c>
      <c r="AK140" s="82">
        <v>0</v>
      </c>
      <c r="AL140" s="82">
        <v>0</v>
      </c>
      <c r="AM140" s="82">
        <v>66.54193517438965</v>
      </c>
      <c r="AN140" s="82">
        <v>34.440274590483931</v>
      </c>
      <c r="AO140" s="82">
        <v>0</v>
      </c>
      <c r="AP140" s="82">
        <v>2.4286985927185243</v>
      </c>
      <c r="AQ140" s="82">
        <v>0</v>
      </c>
      <c r="AR140" s="82">
        <v>0</v>
      </c>
      <c r="AS140" s="82">
        <v>0</v>
      </c>
      <c r="AT140" s="82">
        <v>0</v>
      </c>
      <c r="AU140" s="82">
        <v>0</v>
      </c>
      <c r="AV140" s="83">
        <v>0</v>
      </c>
      <c r="AW140" s="80"/>
      <c r="AX140" s="81"/>
      <c r="AY140" s="81"/>
      <c r="AZ140" s="81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3"/>
      <c r="BO140" s="80"/>
      <c r="BP140" s="81"/>
      <c r="BQ140" s="81"/>
      <c r="BR140" s="81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3"/>
      <c r="CG140" s="80"/>
      <c r="CH140" s="81"/>
      <c r="CI140" s="81"/>
      <c r="CJ140" s="81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3"/>
      <c r="CY140" s="80"/>
      <c r="CZ140" s="81"/>
      <c r="DA140" s="81"/>
      <c r="DB140" s="81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3"/>
      <c r="DQ140" s="80"/>
      <c r="DR140" s="81"/>
      <c r="DS140" s="81"/>
      <c r="DT140" s="81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3"/>
      <c r="EI140" s="80"/>
      <c r="EJ140" s="81"/>
      <c r="EK140" s="81"/>
      <c r="EL140" s="81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3"/>
    </row>
    <row r="141" spans="1:156">
      <c r="A141" s="11"/>
      <c r="B141" s="103" t="s">
        <v>250</v>
      </c>
      <c r="C141" s="108" t="str">
        <f>SIS055_D_Kitosadministr1</f>
        <v>Kitos administravimo sąnaudos (nurodyti)</v>
      </c>
      <c r="D141" s="104"/>
      <c r="E141" s="104"/>
      <c r="F141" s="116"/>
      <c r="G141" s="75">
        <f t="shared" si="68"/>
        <v>14674.510000000002</v>
      </c>
      <c r="H141" s="76">
        <f t="shared" si="69"/>
        <v>8879.9404922963986</v>
      </c>
      <c r="I141" s="77">
        <f t="shared" si="69"/>
        <v>0</v>
      </c>
      <c r="J141" s="77">
        <f t="shared" si="69"/>
        <v>3.9756023595489322E-5</v>
      </c>
      <c r="K141" s="77">
        <f t="shared" si="69"/>
        <v>0</v>
      </c>
      <c r="L141" s="78">
        <f t="shared" si="69"/>
        <v>0</v>
      </c>
      <c r="M141" s="78">
        <f t="shared" si="69"/>
        <v>3819.2546682034022</v>
      </c>
      <c r="N141" s="78">
        <f t="shared" si="69"/>
        <v>0</v>
      </c>
      <c r="O141" s="78">
        <f t="shared" si="69"/>
        <v>0</v>
      </c>
      <c r="P141" s="78">
        <f t="shared" si="69"/>
        <v>476.07616140566557</v>
      </c>
      <c r="Q141" s="78">
        <f t="shared" si="69"/>
        <v>246.40392080309022</v>
      </c>
      <c r="R141" s="78">
        <f t="shared" si="69"/>
        <v>0</v>
      </c>
      <c r="S141" s="78">
        <f t="shared" si="69"/>
        <v>17.376192925597202</v>
      </c>
      <c r="T141" s="78">
        <f t="shared" si="69"/>
        <v>0</v>
      </c>
      <c r="U141" s="78">
        <f t="shared" si="69"/>
        <v>0</v>
      </c>
      <c r="V141" s="78">
        <f t="shared" si="69"/>
        <v>0</v>
      </c>
      <c r="W141" s="78">
        <f t="shared" si="69"/>
        <v>0</v>
      </c>
      <c r="X141" s="78">
        <f t="shared" si="70"/>
        <v>0</v>
      </c>
      <c r="Y141" s="78">
        <f t="shared" si="70"/>
        <v>0</v>
      </c>
      <c r="Z141" s="79">
        <f>SIS064_F_Kitosadministr1Elektrosenergi5</f>
        <v>0</v>
      </c>
      <c r="AA141" s="79">
        <f>SUM(SIS062_F_Kitosadministr1Geriamojovande1,SIS063_F_Kitosadministr1Geriamojovande1,SIS065_F_Kitosadministr1Geriamojovande1)</f>
        <v>0</v>
      </c>
      <c r="AB141" s="79">
        <f>SUM(SIS062_F_Kitosadministr1Paslaugaproduk8,SIS063_F_Kitosadministr1Paslaugaproduk8,SIS065_F_Kitosadministr1Paslaugaproduk8)</f>
        <v>0</v>
      </c>
      <c r="AC141" s="79">
        <f>SIS064_F_Kitosadministr1Elektrosenergi6</f>
        <v>0</v>
      </c>
      <c r="AD141" s="79">
        <f>SUM(SIS062_F_Kitosadministr1Paslaugaproduk9,SIS063_F_Kitosadministr1Paslaugaproduk9,SIS065_F_Kitosadministr1Paslaugaproduk9)</f>
        <v>1235.4585246098227</v>
      </c>
      <c r="AE141" s="80">
        <v>8879.9404922963986</v>
      </c>
      <c r="AF141" s="81">
        <v>0</v>
      </c>
      <c r="AG141" s="81">
        <v>3.9756023595489322E-5</v>
      </c>
      <c r="AH141" s="81">
        <v>0</v>
      </c>
      <c r="AI141" s="82">
        <v>0</v>
      </c>
      <c r="AJ141" s="82">
        <v>3819.2546682034022</v>
      </c>
      <c r="AK141" s="82">
        <v>0</v>
      </c>
      <c r="AL141" s="82">
        <v>0</v>
      </c>
      <c r="AM141" s="82">
        <v>476.07616140566557</v>
      </c>
      <c r="AN141" s="82">
        <v>246.40392080309022</v>
      </c>
      <c r="AO141" s="82">
        <v>0</v>
      </c>
      <c r="AP141" s="82">
        <v>17.376192925597202</v>
      </c>
      <c r="AQ141" s="82">
        <v>0</v>
      </c>
      <c r="AR141" s="82">
        <v>0</v>
      </c>
      <c r="AS141" s="82">
        <v>0</v>
      </c>
      <c r="AT141" s="82">
        <v>0</v>
      </c>
      <c r="AU141" s="82">
        <v>0</v>
      </c>
      <c r="AV141" s="83">
        <v>0</v>
      </c>
      <c r="AW141" s="80"/>
      <c r="AX141" s="81"/>
      <c r="AY141" s="81"/>
      <c r="AZ141" s="81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3"/>
      <c r="BO141" s="80"/>
      <c r="BP141" s="81"/>
      <c r="BQ141" s="81"/>
      <c r="BR141" s="81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3"/>
      <c r="CG141" s="80"/>
      <c r="CH141" s="81"/>
      <c r="CI141" s="81"/>
      <c r="CJ141" s="81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3"/>
      <c r="CY141" s="80"/>
      <c r="CZ141" s="81"/>
      <c r="DA141" s="81"/>
      <c r="DB141" s="81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3"/>
      <c r="DQ141" s="80"/>
      <c r="DR141" s="81"/>
      <c r="DS141" s="81"/>
      <c r="DT141" s="81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3"/>
      <c r="EI141" s="80"/>
      <c r="EJ141" s="81"/>
      <c r="EK141" s="81"/>
      <c r="EL141" s="81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3"/>
    </row>
    <row r="142" spans="1:156">
      <c r="A142" s="11"/>
      <c r="B142" s="103" t="s">
        <v>251</v>
      </c>
      <c r="C142" s="108" t="str">
        <f>SIS055_D_Kitosadministr2</f>
        <v>Kitos administravimo sąnaudos (nurodyti)</v>
      </c>
      <c r="D142" s="104"/>
      <c r="E142" s="104"/>
      <c r="F142" s="116"/>
      <c r="G142" s="75">
        <f t="shared" si="68"/>
        <v>0</v>
      </c>
      <c r="H142" s="76">
        <f t="shared" si="69"/>
        <v>0</v>
      </c>
      <c r="I142" s="77">
        <f t="shared" si="69"/>
        <v>0</v>
      </c>
      <c r="J142" s="77">
        <f t="shared" si="69"/>
        <v>0</v>
      </c>
      <c r="K142" s="77">
        <f t="shared" si="69"/>
        <v>0</v>
      </c>
      <c r="L142" s="78">
        <f t="shared" si="69"/>
        <v>0</v>
      </c>
      <c r="M142" s="78">
        <f t="shared" si="69"/>
        <v>0</v>
      </c>
      <c r="N142" s="78">
        <f t="shared" si="69"/>
        <v>0</v>
      </c>
      <c r="O142" s="78">
        <f t="shared" si="69"/>
        <v>0</v>
      </c>
      <c r="P142" s="78">
        <f t="shared" si="69"/>
        <v>0</v>
      </c>
      <c r="Q142" s="78">
        <f t="shared" si="69"/>
        <v>0</v>
      </c>
      <c r="R142" s="78">
        <f t="shared" si="69"/>
        <v>0</v>
      </c>
      <c r="S142" s="78">
        <f t="shared" si="69"/>
        <v>0</v>
      </c>
      <c r="T142" s="78">
        <f t="shared" si="69"/>
        <v>0</v>
      </c>
      <c r="U142" s="78">
        <f t="shared" si="69"/>
        <v>0</v>
      </c>
      <c r="V142" s="78">
        <f t="shared" si="69"/>
        <v>0</v>
      </c>
      <c r="W142" s="78">
        <f t="shared" si="69"/>
        <v>0</v>
      </c>
      <c r="X142" s="78">
        <f t="shared" si="70"/>
        <v>0</v>
      </c>
      <c r="Y142" s="78">
        <f t="shared" si="70"/>
        <v>0</v>
      </c>
      <c r="Z142" s="79">
        <f>SIS064_F_Kitosadministr2Elektrosenergi5</f>
        <v>0</v>
      </c>
      <c r="AA142" s="79">
        <f>SUM(SIS062_F_Kitosadministr2Geriamojovande1,SIS063_F_Kitosadministr2Geriamojovande1,SIS065_F_Kitosadministr2Geriamojovande1)</f>
        <v>0</v>
      </c>
      <c r="AB142" s="79">
        <f>SUM(SIS062_F_Kitosadministr2Paslaugaproduk8,SIS063_F_Kitosadministr2Paslaugaproduk8,SIS065_F_Kitosadministr2Paslaugaproduk8)</f>
        <v>0</v>
      </c>
      <c r="AC142" s="79">
        <f>SIS064_F_Kitosadministr2Elektrosenergi6</f>
        <v>0</v>
      </c>
      <c r="AD142" s="79">
        <f>SUM(SIS062_F_Kitosadministr2Paslaugaproduk9,SIS063_F_Kitosadministr2Paslaugaproduk9,SIS065_F_Kitosadministr2Paslaugaproduk9)</f>
        <v>0</v>
      </c>
      <c r="AE142" s="80">
        <v>0</v>
      </c>
      <c r="AF142" s="81">
        <v>0</v>
      </c>
      <c r="AG142" s="81">
        <v>0</v>
      </c>
      <c r="AH142" s="81">
        <v>0</v>
      </c>
      <c r="AI142" s="82">
        <v>0</v>
      </c>
      <c r="AJ142" s="82">
        <v>0</v>
      </c>
      <c r="AK142" s="82">
        <v>0</v>
      </c>
      <c r="AL142" s="82">
        <v>0</v>
      </c>
      <c r="AM142" s="82">
        <v>0</v>
      </c>
      <c r="AN142" s="82">
        <v>0</v>
      </c>
      <c r="AO142" s="82">
        <v>0</v>
      </c>
      <c r="AP142" s="82">
        <v>0</v>
      </c>
      <c r="AQ142" s="82">
        <v>0</v>
      </c>
      <c r="AR142" s="82">
        <v>0</v>
      </c>
      <c r="AS142" s="82">
        <v>0</v>
      </c>
      <c r="AT142" s="82">
        <v>0</v>
      </c>
      <c r="AU142" s="82">
        <v>0</v>
      </c>
      <c r="AV142" s="83">
        <v>0</v>
      </c>
      <c r="AW142" s="80"/>
      <c r="AX142" s="81"/>
      <c r="AY142" s="81"/>
      <c r="AZ142" s="81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3"/>
      <c r="BO142" s="80"/>
      <c r="BP142" s="81"/>
      <c r="BQ142" s="81"/>
      <c r="BR142" s="81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3"/>
      <c r="CG142" s="80"/>
      <c r="CH142" s="81"/>
      <c r="CI142" s="81"/>
      <c r="CJ142" s="81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3"/>
      <c r="CY142" s="80"/>
      <c r="CZ142" s="81"/>
      <c r="DA142" s="81"/>
      <c r="DB142" s="81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3"/>
      <c r="DQ142" s="80"/>
      <c r="DR142" s="81"/>
      <c r="DS142" s="81"/>
      <c r="DT142" s="81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3"/>
      <c r="EI142" s="80"/>
      <c r="EJ142" s="81"/>
      <c r="EK142" s="81"/>
      <c r="EL142" s="81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3"/>
    </row>
    <row r="143" spans="1:156">
      <c r="A143" s="11"/>
      <c r="B143" s="103" t="s">
        <v>252</v>
      </c>
      <c r="C143" s="108" t="str">
        <f>SIS055_D_Kitosadministr3</f>
        <v>Kitos administravimo sąnaudos (nurodyti)</v>
      </c>
      <c r="D143" s="104"/>
      <c r="E143" s="104"/>
      <c r="F143" s="116"/>
      <c r="G143" s="75">
        <f t="shared" si="68"/>
        <v>0</v>
      </c>
      <c r="H143" s="76">
        <f t="shared" si="69"/>
        <v>0</v>
      </c>
      <c r="I143" s="77">
        <f t="shared" si="69"/>
        <v>0</v>
      </c>
      <c r="J143" s="77">
        <f t="shared" si="69"/>
        <v>0</v>
      </c>
      <c r="K143" s="77">
        <f t="shared" si="69"/>
        <v>0</v>
      </c>
      <c r="L143" s="78">
        <f t="shared" si="69"/>
        <v>0</v>
      </c>
      <c r="M143" s="78">
        <f t="shared" si="69"/>
        <v>0</v>
      </c>
      <c r="N143" s="78">
        <f t="shared" si="69"/>
        <v>0</v>
      </c>
      <c r="O143" s="78">
        <f t="shared" si="69"/>
        <v>0</v>
      </c>
      <c r="P143" s="78">
        <f t="shared" si="69"/>
        <v>0</v>
      </c>
      <c r="Q143" s="78">
        <f t="shared" si="69"/>
        <v>0</v>
      </c>
      <c r="R143" s="78">
        <f t="shared" si="69"/>
        <v>0</v>
      </c>
      <c r="S143" s="78">
        <f t="shared" si="69"/>
        <v>0</v>
      </c>
      <c r="T143" s="78">
        <f t="shared" si="69"/>
        <v>0</v>
      </c>
      <c r="U143" s="78">
        <f t="shared" si="69"/>
        <v>0</v>
      </c>
      <c r="V143" s="78">
        <f t="shared" si="69"/>
        <v>0</v>
      </c>
      <c r="W143" s="78">
        <f t="shared" si="69"/>
        <v>0</v>
      </c>
      <c r="X143" s="78">
        <f t="shared" si="70"/>
        <v>0</v>
      </c>
      <c r="Y143" s="78">
        <f t="shared" si="70"/>
        <v>0</v>
      </c>
      <c r="Z143" s="79">
        <f>SIS064_F_Kitosadministr3Elektrosenergi5</f>
        <v>0</v>
      </c>
      <c r="AA143" s="79">
        <f>SUM(SIS062_F_Kitosadministr3Geriamojovande1,SIS063_F_Kitosadministr3Geriamojovande1,SIS065_F_Kitosadministr3Geriamojovande1)</f>
        <v>0</v>
      </c>
      <c r="AB143" s="79">
        <f>SUM(SIS062_F_Kitosadministr3Paslaugaproduk8,SIS063_F_Kitosadministr3Paslaugaproduk8,SIS065_F_Kitosadministr3Paslaugaproduk8)</f>
        <v>0</v>
      </c>
      <c r="AC143" s="79">
        <f>SIS064_F_Kitosadministr3Elektrosenergi6</f>
        <v>0</v>
      </c>
      <c r="AD143" s="79">
        <f>SUM(SIS062_F_Kitosadministr3Paslaugaproduk9,SIS063_F_Kitosadministr3Paslaugaproduk9,SIS065_F_Kitosadministr3Paslaugaproduk9)</f>
        <v>0</v>
      </c>
      <c r="AE143" s="80">
        <v>0</v>
      </c>
      <c r="AF143" s="81">
        <v>0</v>
      </c>
      <c r="AG143" s="81">
        <v>0</v>
      </c>
      <c r="AH143" s="81">
        <v>0</v>
      </c>
      <c r="AI143" s="82">
        <v>0</v>
      </c>
      <c r="AJ143" s="82">
        <v>0</v>
      </c>
      <c r="AK143" s="82">
        <v>0</v>
      </c>
      <c r="AL143" s="82">
        <v>0</v>
      </c>
      <c r="AM143" s="82">
        <v>0</v>
      </c>
      <c r="AN143" s="82">
        <v>0</v>
      </c>
      <c r="AO143" s="82">
        <v>0</v>
      </c>
      <c r="AP143" s="82">
        <v>0</v>
      </c>
      <c r="AQ143" s="82">
        <v>0</v>
      </c>
      <c r="AR143" s="82">
        <v>0</v>
      </c>
      <c r="AS143" s="82">
        <v>0</v>
      </c>
      <c r="AT143" s="82">
        <v>0</v>
      </c>
      <c r="AU143" s="82">
        <v>0</v>
      </c>
      <c r="AV143" s="83">
        <v>0</v>
      </c>
      <c r="AW143" s="80"/>
      <c r="AX143" s="81"/>
      <c r="AY143" s="81"/>
      <c r="AZ143" s="81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3"/>
      <c r="BO143" s="80"/>
      <c r="BP143" s="81"/>
      <c r="BQ143" s="81"/>
      <c r="BR143" s="81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3"/>
      <c r="CG143" s="80"/>
      <c r="CH143" s="81"/>
      <c r="CI143" s="81"/>
      <c r="CJ143" s="81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3"/>
      <c r="CY143" s="80"/>
      <c r="CZ143" s="81"/>
      <c r="DA143" s="81"/>
      <c r="DB143" s="81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3"/>
      <c r="DQ143" s="80"/>
      <c r="DR143" s="81"/>
      <c r="DS143" s="81"/>
      <c r="DT143" s="81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3"/>
      <c r="EI143" s="80"/>
      <c r="EJ143" s="81"/>
      <c r="EK143" s="81"/>
      <c r="EL143" s="81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3"/>
    </row>
    <row r="144" spans="1:156">
      <c r="A144" s="11"/>
      <c r="B144" s="84" t="s">
        <v>253</v>
      </c>
      <c r="C144" s="109" t="s">
        <v>254</v>
      </c>
      <c r="D144" s="110"/>
      <c r="E144" s="110"/>
      <c r="F144" s="111"/>
      <c r="G144" s="101">
        <f t="shared" ref="G144:AD144" si="71">SUM(G145:G154)</f>
        <v>19264.43</v>
      </c>
      <c r="H144" s="88">
        <f t="shared" si="71"/>
        <v>405.9796256421273</v>
      </c>
      <c r="I144" s="89">
        <f t="shared" si="71"/>
        <v>0</v>
      </c>
      <c r="J144" s="89">
        <f t="shared" si="71"/>
        <v>1.8175950154529036E-6</v>
      </c>
      <c r="K144" s="89">
        <f t="shared" si="71"/>
        <v>0</v>
      </c>
      <c r="L144" s="90">
        <f t="shared" si="71"/>
        <v>0</v>
      </c>
      <c r="M144" s="90">
        <f t="shared" si="71"/>
        <v>174.61148323846334</v>
      </c>
      <c r="N144" s="90">
        <f t="shared" si="71"/>
        <v>0</v>
      </c>
      <c r="O144" s="90">
        <f t="shared" si="71"/>
        <v>0</v>
      </c>
      <c r="P144" s="90">
        <f t="shared" si="71"/>
        <v>17571.054213626903</v>
      </c>
      <c r="Q144" s="90">
        <f t="shared" si="71"/>
        <v>819.80808966324935</v>
      </c>
      <c r="R144" s="90">
        <f t="shared" si="71"/>
        <v>0</v>
      </c>
      <c r="S144" s="90">
        <f t="shared" si="71"/>
        <v>236.49298797937638</v>
      </c>
      <c r="T144" s="90">
        <f t="shared" si="71"/>
        <v>0</v>
      </c>
      <c r="U144" s="90">
        <f t="shared" si="71"/>
        <v>0</v>
      </c>
      <c r="V144" s="90">
        <f t="shared" si="71"/>
        <v>0</v>
      </c>
      <c r="W144" s="90">
        <f t="shared" si="71"/>
        <v>0</v>
      </c>
      <c r="X144" s="90">
        <f t="shared" si="71"/>
        <v>0</v>
      </c>
      <c r="Y144" s="90">
        <f t="shared" si="71"/>
        <v>0</v>
      </c>
      <c r="Z144" s="90">
        <f t="shared" si="71"/>
        <v>0</v>
      </c>
      <c r="AA144" s="90">
        <f t="shared" si="71"/>
        <v>0</v>
      </c>
      <c r="AB144" s="90">
        <f t="shared" si="71"/>
        <v>0</v>
      </c>
      <c r="AC144" s="90">
        <f t="shared" si="71"/>
        <v>0</v>
      </c>
      <c r="AD144" s="90">
        <f t="shared" si="71"/>
        <v>56.483598032283879</v>
      </c>
      <c r="AE144" s="88">
        <f t="shared" ref="AE144:CP144" si="72">SUM(AE145:AE154)</f>
        <v>405.9796256421273</v>
      </c>
      <c r="AF144" s="89">
        <f t="shared" si="72"/>
        <v>0</v>
      </c>
      <c r="AG144" s="89">
        <f t="shared" si="72"/>
        <v>1.8175950154529036E-6</v>
      </c>
      <c r="AH144" s="89">
        <f t="shared" si="72"/>
        <v>0</v>
      </c>
      <c r="AI144" s="90">
        <f t="shared" si="72"/>
        <v>0</v>
      </c>
      <c r="AJ144" s="90">
        <f t="shared" si="72"/>
        <v>174.61148323846334</v>
      </c>
      <c r="AK144" s="90">
        <f t="shared" si="72"/>
        <v>0</v>
      </c>
      <c r="AL144" s="90">
        <f t="shared" si="72"/>
        <v>0</v>
      </c>
      <c r="AM144" s="90">
        <f t="shared" si="72"/>
        <v>17571.054213626903</v>
      </c>
      <c r="AN144" s="90">
        <f t="shared" si="72"/>
        <v>819.80808966324935</v>
      </c>
      <c r="AO144" s="90">
        <f t="shared" si="72"/>
        <v>0</v>
      </c>
      <c r="AP144" s="90">
        <f t="shared" si="72"/>
        <v>236.49298797937638</v>
      </c>
      <c r="AQ144" s="90">
        <f t="shared" si="72"/>
        <v>0</v>
      </c>
      <c r="AR144" s="90">
        <f t="shared" si="72"/>
        <v>0</v>
      </c>
      <c r="AS144" s="90">
        <f t="shared" si="72"/>
        <v>0</v>
      </c>
      <c r="AT144" s="90">
        <f t="shared" si="72"/>
        <v>0</v>
      </c>
      <c r="AU144" s="90">
        <f t="shared" si="72"/>
        <v>0</v>
      </c>
      <c r="AV144" s="91">
        <f t="shared" si="72"/>
        <v>0</v>
      </c>
      <c r="AW144" s="88">
        <f t="shared" si="72"/>
        <v>0</v>
      </c>
      <c r="AX144" s="89">
        <f t="shared" si="72"/>
        <v>0</v>
      </c>
      <c r="AY144" s="89">
        <f t="shared" si="72"/>
        <v>0</v>
      </c>
      <c r="AZ144" s="89">
        <f t="shared" si="72"/>
        <v>0</v>
      </c>
      <c r="BA144" s="90">
        <f t="shared" si="72"/>
        <v>0</v>
      </c>
      <c r="BB144" s="90">
        <f t="shared" si="72"/>
        <v>0</v>
      </c>
      <c r="BC144" s="90">
        <f t="shared" si="72"/>
        <v>0</v>
      </c>
      <c r="BD144" s="90">
        <f t="shared" si="72"/>
        <v>0</v>
      </c>
      <c r="BE144" s="90">
        <f t="shared" si="72"/>
        <v>0</v>
      </c>
      <c r="BF144" s="90">
        <f t="shared" si="72"/>
        <v>0</v>
      </c>
      <c r="BG144" s="90">
        <f t="shared" si="72"/>
        <v>0</v>
      </c>
      <c r="BH144" s="90">
        <f t="shared" si="72"/>
        <v>0</v>
      </c>
      <c r="BI144" s="90">
        <f t="shared" si="72"/>
        <v>0</v>
      </c>
      <c r="BJ144" s="90">
        <f t="shared" si="72"/>
        <v>0</v>
      </c>
      <c r="BK144" s="90">
        <f t="shared" si="72"/>
        <v>0</v>
      </c>
      <c r="BL144" s="90">
        <f t="shared" si="72"/>
        <v>0</v>
      </c>
      <c r="BM144" s="90">
        <f t="shared" si="72"/>
        <v>0</v>
      </c>
      <c r="BN144" s="91">
        <f t="shared" si="72"/>
        <v>0</v>
      </c>
      <c r="BO144" s="88">
        <f t="shared" si="72"/>
        <v>0</v>
      </c>
      <c r="BP144" s="89">
        <f t="shared" si="72"/>
        <v>0</v>
      </c>
      <c r="BQ144" s="89">
        <f t="shared" si="72"/>
        <v>0</v>
      </c>
      <c r="BR144" s="89">
        <f t="shared" si="72"/>
        <v>0</v>
      </c>
      <c r="BS144" s="90">
        <f t="shared" si="72"/>
        <v>0</v>
      </c>
      <c r="BT144" s="90">
        <f t="shared" si="72"/>
        <v>0</v>
      </c>
      <c r="BU144" s="90">
        <f t="shared" si="72"/>
        <v>0</v>
      </c>
      <c r="BV144" s="90">
        <f t="shared" si="72"/>
        <v>0</v>
      </c>
      <c r="BW144" s="90">
        <f t="shared" si="72"/>
        <v>0</v>
      </c>
      <c r="BX144" s="90">
        <f t="shared" si="72"/>
        <v>0</v>
      </c>
      <c r="BY144" s="90">
        <f t="shared" si="72"/>
        <v>0</v>
      </c>
      <c r="BZ144" s="90">
        <f t="shared" si="72"/>
        <v>0</v>
      </c>
      <c r="CA144" s="90">
        <f t="shared" si="72"/>
        <v>0</v>
      </c>
      <c r="CB144" s="90">
        <f t="shared" si="72"/>
        <v>0</v>
      </c>
      <c r="CC144" s="90">
        <f t="shared" si="72"/>
        <v>0</v>
      </c>
      <c r="CD144" s="90">
        <f t="shared" si="72"/>
        <v>0</v>
      </c>
      <c r="CE144" s="90">
        <f t="shared" si="72"/>
        <v>0</v>
      </c>
      <c r="CF144" s="91">
        <f t="shared" si="72"/>
        <v>0</v>
      </c>
      <c r="CG144" s="88">
        <f t="shared" si="72"/>
        <v>0</v>
      </c>
      <c r="CH144" s="89">
        <f t="shared" si="72"/>
        <v>0</v>
      </c>
      <c r="CI144" s="89">
        <f t="shared" si="72"/>
        <v>0</v>
      </c>
      <c r="CJ144" s="89">
        <f t="shared" si="72"/>
        <v>0</v>
      </c>
      <c r="CK144" s="90">
        <f t="shared" si="72"/>
        <v>0</v>
      </c>
      <c r="CL144" s="90">
        <f t="shared" si="72"/>
        <v>0</v>
      </c>
      <c r="CM144" s="90">
        <f t="shared" si="72"/>
        <v>0</v>
      </c>
      <c r="CN144" s="90">
        <f t="shared" si="72"/>
        <v>0</v>
      </c>
      <c r="CO144" s="90">
        <f t="shared" si="72"/>
        <v>0</v>
      </c>
      <c r="CP144" s="90">
        <f t="shared" si="72"/>
        <v>0</v>
      </c>
      <c r="CQ144" s="90">
        <f t="shared" ref="CQ144:EZ144" si="73">SUM(CQ145:CQ154)</f>
        <v>0</v>
      </c>
      <c r="CR144" s="90">
        <f t="shared" si="73"/>
        <v>0</v>
      </c>
      <c r="CS144" s="90">
        <f t="shared" si="73"/>
        <v>0</v>
      </c>
      <c r="CT144" s="90">
        <f t="shared" si="73"/>
        <v>0</v>
      </c>
      <c r="CU144" s="90">
        <f t="shared" si="73"/>
        <v>0</v>
      </c>
      <c r="CV144" s="90">
        <f t="shared" si="73"/>
        <v>0</v>
      </c>
      <c r="CW144" s="90">
        <f t="shared" si="73"/>
        <v>0</v>
      </c>
      <c r="CX144" s="91">
        <f t="shared" si="73"/>
        <v>0</v>
      </c>
      <c r="CY144" s="88">
        <f t="shared" si="73"/>
        <v>0</v>
      </c>
      <c r="CZ144" s="89">
        <f t="shared" si="73"/>
        <v>0</v>
      </c>
      <c r="DA144" s="89">
        <f t="shared" si="73"/>
        <v>0</v>
      </c>
      <c r="DB144" s="89">
        <f t="shared" si="73"/>
        <v>0</v>
      </c>
      <c r="DC144" s="90">
        <f t="shared" si="73"/>
        <v>0</v>
      </c>
      <c r="DD144" s="90">
        <f t="shared" si="73"/>
        <v>0</v>
      </c>
      <c r="DE144" s="90">
        <f t="shared" si="73"/>
        <v>0</v>
      </c>
      <c r="DF144" s="90">
        <f t="shared" si="73"/>
        <v>0</v>
      </c>
      <c r="DG144" s="90">
        <f t="shared" si="73"/>
        <v>0</v>
      </c>
      <c r="DH144" s="90">
        <f t="shared" si="73"/>
        <v>0</v>
      </c>
      <c r="DI144" s="90">
        <f t="shared" si="73"/>
        <v>0</v>
      </c>
      <c r="DJ144" s="90">
        <f t="shared" si="73"/>
        <v>0</v>
      </c>
      <c r="DK144" s="90">
        <f t="shared" si="73"/>
        <v>0</v>
      </c>
      <c r="DL144" s="90">
        <f t="shared" si="73"/>
        <v>0</v>
      </c>
      <c r="DM144" s="90">
        <f t="shared" si="73"/>
        <v>0</v>
      </c>
      <c r="DN144" s="90">
        <f t="shared" si="73"/>
        <v>0</v>
      </c>
      <c r="DO144" s="90">
        <f t="shared" si="73"/>
        <v>0</v>
      </c>
      <c r="DP144" s="91">
        <f t="shared" si="73"/>
        <v>0</v>
      </c>
      <c r="DQ144" s="88">
        <f t="shared" si="73"/>
        <v>0</v>
      </c>
      <c r="DR144" s="89">
        <f t="shared" si="73"/>
        <v>0</v>
      </c>
      <c r="DS144" s="89">
        <f t="shared" si="73"/>
        <v>0</v>
      </c>
      <c r="DT144" s="89">
        <f t="shared" si="73"/>
        <v>0</v>
      </c>
      <c r="DU144" s="90">
        <f t="shared" si="73"/>
        <v>0</v>
      </c>
      <c r="DV144" s="90">
        <f t="shared" si="73"/>
        <v>0</v>
      </c>
      <c r="DW144" s="90">
        <f t="shared" si="73"/>
        <v>0</v>
      </c>
      <c r="DX144" s="90">
        <f t="shared" si="73"/>
        <v>0</v>
      </c>
      <c r="DY144" s="90">
        <f t="shared" si="73"/>
        <v>0</v>
      </c>
      <c r="DZ144" s="90">
        <f t="shared" si="73"/>
        <v>0</v>
      </c>
      <c r="EA144" s="90">
        <f t="shared" si="73"/>
        <v>0</v>
      </c>
      <c r="EB144" s="90">
        <f t="shared" si="73"/>
        <v>0</v>
      </c>
      <c r="EC144" s="90">
        <f t="shared" si="73"/>
        <v>0</v>
      </c>
      <c r="ED144" s="90">
        <f t="shared" si="73"/>
        <v>0</v>
      </c>
      <c r="EE144" s="90">
        <f t="shared" si="73"/>
        <v>0</v>
      </c>
      <c r="EF144" s="90">
        <f t="shared" si="73"/>
        <v>0</v>
      </c>
      <c r="EG144" s="90">
        <f t="shared" si="73"/>
        <v>0</v>
      </c>
      <c r="EH144" s="91">
        <f t="shared" si="73"/>
        <v>0</v>
      </c>
      <c r="EI144" s="88">
        <f t="shared" si="73"/>
        <v>0</v>
      </c>
      <c r="EJ144" s="89">
        <f t="shared" si="73"/>
        <v>0</v>
      </c>
      <c r="EK144" s="89">
        <f t="shared" si="73"/>
        <v>0</v>
      </c>
      <c r="EL144" s="89">
        <f t="shared" si="73"/>
        <v>0</v>
      </c>
      <c r="EM144" s="90">
        <f t="shared" si="73"/>
        <v>0</v>
      </c>
      <c r="EN144" s="90">
        <f t="shared" si="73"/>
        <v>0</v>
      </c>
      <c r="EO144" s="90">
        <f t="shared" si="73"/>
        <v>0</v>
      </c>
      <c r="EP144" s="90">
        <f t="shared" si="73"/>
        <v>0</v>
      </c>
      <c r="EQ144" s="90">
        <f t="shared" si="73"/>
        <v>0</v>
      </c>
      <c r="ER144" s="90">
        <f t="shared" si="73"/>
        <v>0</v>
      </c>
      <c r="ES144" s="90">
        <f t="shared" si="73"/>
        <v>0</v>
      </c>
      <c r="ET144" s="90">
        <f t="shared" si="73"/>
        <v>0</v>
      </c>
      <c r="EU144" s="90">
        <f t="shared" si="73"/>
        <v>0</v>
      </c>
      <c r="EV144" s="90">
        <f t="shared" si="73"/>
        <v>0</v>
      </c>
      <c r="EW144" s="90">
        <f t="shared" si="73"/>
        <v>0</v>
      </c>
      <c r="EX144" s="90">
        <f t="shared" si="73"/>
        <v>0</v>
      </c>
      <c r="EY144" s="90">
        <f t="shared" si="73"/>
        <v>0</v>
      </c>
      <c r="EZ144" s="91">
        <f t="shared" si="73"/>
        <v>0</v>
      </c>
    </row>
    <row r="145" spans="1:156">
      <c r="A145" s="11"/>
      <c r="B145" s="103" t="s">
        <v>255</v>
      </c>
      <c r="C145" s="108" t="s">
        <v>256</v>
      </c>
      <c r="D145" s="104"/>
      <c r="E145" s="104"/>
      <c r="F145" s="116"/>
      <c r="G145" s="75">
        <f t="shared" ref="G145:G154" si="74">SUM(H145:AD145)</f>
        <v>0</v>
      </c>
      <c r="H145" s="76">
        <f t="shared" ref="H145:W154" si="75">SUM(AE145,AW145,BO145,CG145,CY145,DQ145,EI145)</f>
        <v>0</v>
      </c>
      <c r="I145" s="77">
        <f t="shared" si="75"/>
        <v>0</v>
      </c>
      <c r="J145" s="77">
        <f t="shared" si="75"/>
        <v>0</v>
      </c>
      <c r="K145" s="77">
        <f t="shared" si="75"/>
        <v>0</v>
      </c>
      <c r="L145" s="78">
        <f t="shared" si="75"/>
        <v>0</v>
      </c>
      <c r="M145" s="78">
        <f t="shared" si="75"/>
        <v>0</v>
      </c>
      <c r="N145" s="78">
        <f t="shared" si="75"/>
        <v>0</v>
      </c>
      <c r="O145" s="78">
        <f t="shared" si="75"/>
        <v>0</v>
      </c>
      <c r="P145" s="78">
        <f t="shared" si="75"/>
        <v>0</v>
      </c>
      <c r="Q145" s="78">
        <f t="shared" si="75"/>
        <v>0</v>
      </c>
      <c r="R145" s="78">
        <f t="shared" si="75"/>
        <v>0</v>
      </c>
      <c r="S145" s="78">
        <f t="shared" si="75"/>
        <v>0</v>
      </c>
      <c r="T145" s="78">
        <f t="shared" si="75"/>
        <v>0</v>
      </c>
      <c r="U145" s="78">
        <f t="shared" si="75"/>
        <v>0</v>
      </c>
      <c r="V145" s="78">
        <f t="shared" si="75"/>
        <v>0</v>
      </c>
      <c r="W145" s="78">
        <f t="shared" si="75"/>
        <v>0</v>
      </c>
      <c r="X145" s="78">
        <f t="shared" ref="X145:Y154" si="76">SUM(AU145,BM145,CE145,CW145,DO145,EG145,EY145)</f>
        <v>0</v>
      </c>
      <c r="Y145" s="78">
        <f t="shared" si="76"/>
        <v>0</v>
      </c>
      <c r="Z145" s="79">
        <f>SIS064_F_Reklamospaslau1Elektrosenergi5</f>
        <v>0</v>
      </c>
      <c r="AA145" s="79">
        <f>SUM(SIS062_F_Reklamospaslau1Geriamojovande1,SIS063_F_Reklamospaslau1Geriamojovande1,SIS065_F_Reklamospaslau1Geriamojovande1)</f>
        <v>0</v>
      </c>
      <c r="AB145" s="79">
        <f>SUM(SIS062_F_Reklamospaslau1Paslaugaproduk8,SIS063_F_Reklamospaslau1Paslaugaproduk8,SIS065_F_Reklamospaslau1Paslaugaproduk8)</f>
        <v>0</v>
      </c>
      <c r="AC145" s="79">
        <f>SIS064_F_Reklamospaslau1Elektrosenergi6</f>
        <v>0</v>
      </c>
      <c r="AD145" s="79">
        <f>SUM(SIS062_F_Reklamospaslau1Paslaugaproduk9,SIS063_F_Reklamospaslau1Paslaugaproduk9,SIS065_F_Reklamospaslau1Paslaugaproduk9)</f>
        <v>0</v>
      </c>
      <c r="AE145" s="80">
        <v>0</v>
      </c>
      <c r="AF145" s="81">
        <v>0</v>
      </c>
      <c r="AG145" s="81">
        <v>0</v>
      </c>
      <c r="AH145" s="81">
        <v>0</v>
      </c>
      <c r="AI145" s="82">
        <v>0</v>
      </c>
      <c r="AJ145" s="82">
        <v>0</v>
      </c>
      <c r="AK145" s="82">
        <v>0</v>
      </c>
      <c r="AL145" s="82">
        <v>0</v>
      </c>
      <c r="AM145" s="82">
        <v>0</v>
      </c>
      <c r="AN145" s="82">
        <v>0</v>
      </c>
      <c r="AO145" s="82">
        <v>0</v>
      </c>
      <c r="AP145" s="82">
        <v>0</v>
      </c>
      <c r="AQ145" s="82">
        <v>0</v>
      </c>
      <c r="AR145" s="82">
        <v>0</v>
      </c>
      <c r="AS145" s="82">
        <v>0</v>
      </c>
      <c r="AT145" s="82">
        <v>0</v>
      </c>
      <c r="AU145" s="82">
        <v>0</v>
      </c>
      <c r="AV145" s="83">
        <v>0</v>
      </c>
      <c r="AW145" s="80"/>
      <c r="AX145" s="81"/>
      <c r="AY145" s="81"/>
      <c r="AZ145" s="81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3"/>
      <c r="BO145" s="80"/>
      <c r="BP145" s="81"/>
      <c r="BQ145" s="81"/>
      <c r="BR145" s="81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3"/>
      <c r="CG145" s="80"/>
      <c r="CH145" s="81"/>
      <c r="CI145" s="81"/>
      <c r="CJ145" s="81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3"/>
      <c r="CY145" s="80"/>
      <c r="CZ145" s="81"/>
      <c r="DA145" s="81"/>
      <c r="DB145" s="81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3"/>
      <c r="DQ145" s="80"/>
      <c r="DR145" s="81"/>
      <c r="DS145" s="81"/>
      <c r="DT145" s="81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3"/>
      <c r="EI145" s="80"/>
      <c r="EJ145" s="81"/>
      <c r="EK145" s="81"/>
      <c r="EL145" s="81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3"/>
    </row>
    <row r="146" spans="1:156">
      <c r="A146" s="11"/>
      <c r="B146" s="103" t="s">
        <v>257</v>
      </c>
      <c r="C146" s="108" t="s">
        <v>258</v>
      </c>
      <c r="D146" s="104"/>
      <c r="E146" s="104"/>
      <c r="F146" s="116"/>
      <c r="G146" s="75">
        <f t="shared" si="74"/>
        <v>670.90000000000009</v>
      </c>
      <c r="H146" s="76">
        <f t="shared" si="75"/>
        <v>405.9796256421273</v>
      </c>
      <c r="I146" s="77">
        <f t="shared" si="75"/>
        <v>0</v>
      </c>
      <c r="J146" s="77">
        <f t="shared" si="75"/>
        <v>1.8175950154529036E-6</v>
      </c>
      <c r="K146" s="77">
        <f t="shared" si="75"/>
        <v>0</v>
      </c>
      <c r="L146" s="78">
        <f t="shared" si="75"/>
        <v>0</v>
      </c>
      <c r="M146" s="78">
        <f t="shared" si="75"/>
        <v>174.61148323846334</v>
      </c>
      <c r="N146" s="78">
        <f t="shared" si="75"/>
        <v>0</v>
      </c>
      <c r="O146" s="78">
        <f t="shared" si="75"/>
        <v>0</v>
      </c>
      <c r="P146" s="78">
        <f t="shared" si="75"/>
        <v>21.765598761870823</v>
      </c>
      <c r="Q146" s="78">
        <f t="shared" si="75"/>
        <v>11.265274988179723</v>
      </c>
      <c r="R146" s="78">
        <f t="shared" si="75"/>
        <v>0</v>
      </c>
      <c r="S146" s="78">
        <f t="shared" si="75"/>
        <v>0.7944175194799119</v>
      </c>
      <c r="T146" s="78">
        <f t="shared" si="75"/>
        <v>0</v>
      </c>
      <c r="U146" s="78">
        <f t="shared" si="75"/>
        <v>0</v>
      </c>
      <c r="V146" s="78">
        <f t="shared" si="75"/>
        <v>0</v>
      </c>
      <c r="W146" s="78">
        <f t="shared" si="75"/>
        <v>0</v>
      </c>
      <c r="X146" s="78">
        <f t="shared" si="76"/>
        <v>0</v>
      </c>
      <c r="Y146" s="78">
        <f t="shared" si="76"/>
        <v>0</v>
      </c>
      <c r="Z146" s="79">
        <f>SIS064_F_Privalomovarto1Elektrosenergi5</f>
        <v>0</v>
      </c>
      <c r="AA146" s="79">
        <f>SUM(SIS062_F_Privalomovarto1Geriamojovande1,SIS063_F_Privalomovarto1Geriamojovande1,SIS065_F_Privalomovarto1Geriamojovande1)</f>
        <v>0</v>
      </c>
      <c r="AB146" s="79">
        <f>SUM(SIS062_F_Privalomovarto1Paslaugaproduk8,SIS063_F_Privalomovarto1Paslaugaproduk8,SIS065_F_Privalomovarto1Paslaugaproduk8)</f>
        <v>0</v>
      </c>
      <c r="AC146" s="79">
        <f>SIS064_F_Privalomovarto1Elektrosenergi6</f>
        <v>0</v>
      </c>
      <c r="AD146" s="79">
        <f>SUM(SIS062_F_Privalomovarto1Paslaugaproduk9,SIS063_F_Privalomovarto1Paslaugaproduk9,SIS065_F_Privalomovarto1Paslaugaproduk9)</f>
        <v>56.483598032283879</v>
      </c>
      <c r="AE146" s="80">
        <v>405.9796256421273</v>
      </c>
      <c r="AF146" s="81">
        <v>0</v>
      </c>
      <c r="AG146" s="81">
        <v>1.8175950154529036E-6</v>
      </c>
      <c r="AH146" s="81">
        <v>0</v>
      </c>
      <c r="AI146" s="82">
        <v>0</v>
      </c>
      <c r="AJ146" s="82">
        <v>174.61148323846334</v>
      </c>
      <c r="AK146" s="82">
        <v>0</v>
      </c>
      <c r="AL146" s="82">
        <v>0</v>
      </c>
      <c r="AM146" s="82">
        <v>21.765598761870823</v>
      </c>
      <c r="AN146" s="82">
        <v>11.265274988179723</v>
      </c>
      <c r="AO146" s="82">
        <v>0</v>
      </c>
      <c r="AP146" s="82">
        <v>0.7944175194799119</v>
      </c>
      <c r="AQ146" s="82">
        <v>0</v>
      </c>
      <c r="AR146" s="82">
        <v>0</v>
      </c>
      <c r="AS146" s="82">
        <v>0</v>
      </c>
      <c r="AT146" s="82">
        <v>0</v>
      </c>
      <c r="AU146" s="82">
        <v>0</v>
      </c>
      <c r="AV146" s="83">
        <v>0</v>
      </c>
      <c r="AW146" s="80"/>
      <c r="AX146" s="81"/>
      <c r="AY146" s="81"/>
      <c r="AZ146" s="81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3"/>
      <c r="BO146" s="80"/>
      <c r="BP146" s="81"/>
      <c r="BQ146" s="81"/>
      <c r="BR146" s="81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3"/>
      <c r="CG146" s="80"/>
      <c r="CH146" s="81"/>
      <c r="CI146" s="81"/>
      <c r="CJ146" s="81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3"/>
      <c r="CY146" s="80"/>
      <c r="CZ146" s="81"/>
      <c r="DA146" s="81"/>
      <c r="DB146" s="81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3"/>
      <c r="DQ146" s="80"/>
      <c r="DR146" s="81"/>
      <c r="DS146" s="81"/>
      <c r="DT146" s="81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3"/>
      <c r="EI146" s="80"/>
      <c r="EJ146" s="81"/>
      <c r="EK146" s="81"/>
      <c r="EL146" s="81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3"/>
    </row>
    <row r="147" spans="1:156">
      <c r="A147" s="11"/>
      <c r="B147" s="103" t="s">
        <v>259</v>
      </c>
      <c r="C147" s="108" t="s">
        <v>260</v>
      </c>
      <c r="D147" s="104"/>
      <c r="E147" s="104"/>
      <c r="F147" s="116"/>
      <c r="G147" s="75">
        <f t="shared" si="74"/>
        <v>0</v>
      </c>
      <c r="H147" s="76">
        <f t="shared" si="75"/>
        <v>0</v>
      </c>
      <c r="I147" s="77">
        <f t="shared" si="75"/>
        <v>0</v>
      </c>
      <c r="J147" s="77">
        <f t="shared" si="75"/>
        <v>0</v>
      </c>
      <c r="K147" s="77">
        <f t="shared" si="75"/>
        <v>0</v>
      </c>
      <c r="L147" s="78">
        <f t="shared" si="75"/>
        <v>0</v>
      </c>
      <c r="M147" s="78">
        <f t="shared" si="75"/>
        <v>0</v>
      </c>
      <c r="N147" s="78">
        <f t="shared" si="75"/>
        <v>0</v>
      </c>
      <c r="O147" s="78">
        <f t="shared" si="75"/>
        <v>0</v>
      </c>
      <c r="P147" s="78">
        <f t="shared" si="75"/>
        <v>0</v>
      </c>
      <c r="Q147" s="78">
        <f t="shared" si="75"/>
        <v>0</v>
      </c>
      <c r="R147" s="78">
        <f t="shared" si="75"/>
        <v>0</v>
      </c>
      <c r="S147" s="78">
        <f t="shared" si="75"/>
        <v>0</v>
      </c>
      <c r="T147" s="78">
        <f t="shared" si="75"/>
        <v>0</v>
      </c>
      <c r="U147" s="78">
        <f t="shared" si="75"/>
        <v>0</v>
      </c>
      <c r="V147" s="78">
        <f t="shared" si="75"/>
        <v>0</v>
      </c>
      <c r="W147" s="78">
        <f t="shared" si="75"/>
        <v>0</v>
      </c>
      <c r="X147" s="78">
        <f t="shared" si="76"/>
        <v>0</v>
      </c>
      <c r="Y147" s="78">
        <f t="shared" si="76"/>
        <v>0</v>
      </c>
      <c r="Z147" s="79">
        <f>SIS064_F_Prekeszenkloiv1Elektrosenergi5</f>
        <v>0</v>
      </c>
      <c r="AA147" s="79">
        <f>SUM(SIS062_F_Prekeszenkloiv1Geriamojovande1,SIS063_F_Prekeszenkloiv1Geriamojovande1,SIS065_F_Prekeszenkloiv1Geriamojovande1)</f>
        <v>0</v>
      </c>
      <c r="AB147" s="79">
        <f>SUM(SIS062_F_Prekeszenkloiv1Paslaugaproduk8,SIS063_F_Prekeszenkloiv1Paslaugaproduk8,SIS065_F_Prekeszenkloiv1Paslaugaproduk8)</f>
        <v>0</v>
      </c>
      <c r="AC147" s="79">
        <f>SIS064_F_Prekeszenkloiv1Elektrosenergi6</f>
        <v>0</v>
      </c>
      <c r="AD147" s="79">
        <f>SUM(SIS062_F_Prekeszenkloiv1Paslaugaproduk9,SIS063_F_Prekeszenkloiv1Paslaugaproduk9,SIS065_F_Prekeszenkloiv1Paslaugaproduk9)</f>
        <v>0</v>
      </c>
      <c r="AE147" s="80">
        <v>0</v>
      </c>
      <c r="AF147" s="81">
        <v>0</v>
      </c>
      <c r="AG147" s="81">
        <v>0</v>
      </c>
      <c r="AH147" s="81">
        <v>0</v>
      </c>
      <c r="AI147" s="82">
        <v>0</v>
      </c>
      <c r="AJ147" s="82">
        <v>0</v>
      </c>
      <c r="AK147" s="82">
        <v>0</v>
      </c>
      <c r="AL147" s="82">
        <v>0</v>
      </c>
      <c r="AM147" s="82">
        <v>0</v>
      </c>
      <c r="AN147" s="82">
        <v>0</v>
      </c>
      <c r="AO147" s="82">
        <v>0</v>
      </c>
      <c r="AP147" s="82">
        <v>0</v>
      </c>
      <c r="AQ147" s="82">
        <v>0</v>
      </c>
      <c r="AR147" s="82">
        <v>0</v>
      </c>
      <c r="AS147" s="82">
        <v>0</v>
      </c>
      <c r="AT147" s="82">
        <v>0</v>
      </c>
      <c r="AU147" s="82">
        <v>0</v>
      </c>
      <c r="AV147" s="83">
        <v>0</v>
      </c>
      <c r="AW147" s="80"/>
      <c r="AX147" s="81"/>
      <c r="AY147" s="81"/>
      <c r="AZ147" s="81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3"/>
      <c r="BO147" s="80"/>
      <c r="BP147" s="81"/>
      <c r="BQ147" s="81"/>
      <c r="BR147" s="81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3"/>
      <c r="CG147" s="80"/>
      <c r="CH147" s="81"/>
      <c r="CI147" s="81"/>
      <c r="CJ147" s="81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3"/>
      <c r="CY147" s="80"/>
      <c r="CZ147" s="81"/>
      <c r="DA147" s="81"/>
      <c r="DB147" s="81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3"/>
      <c r="DQ147" s="80"/>
      <c r="DR147" s="81"/>
      <c r="DS147" s="81"/>
      <c r="DT147" s="81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3"/>
      <c r="EI147" s="80"/>
      <c r="EJ147" s="81"/>
      <c r="EK147" s="81"/>
      <c r="EL147" s="81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3"/>
    </row>
    <row r="148" spans="1:156">
      <c r="A148" s="11"/>
      <c r="B148" s="103" t="s">
        <v>261</v>
      </c>
      <c r="C148" s="108" t="s">
        <v>262</v>
      </c>
      <c r="D148" s="104"/>
      <c r="E148" s="104"/>
      <c r="F148" s="116"/>
      <c r="G148" s="75">
        <f t="shared" si="74"/>
        <v>0</v>
      </c>
      <c r="H148" s="76">
        <f t="shared" si="75"/>
        <v>0</v>
      </c>
      <c r="I148" s="77">
        <f t="shared" si="75"/>
        <v>0</v>
      </c>
      <c r="J148" s="77">
        <f t="shared" si="75"/>
        <v>0</v>
      </c>
      <c r="K148" s="77">
        <f t="shared" si="75"/>
        <v>0</v>
      </c>
      <c r="L148" s="78">
        <f t="shared" si="75"/>
        <v>0</v>
      </c>
      <c r="M148" s="78">
        <f t="shared" si="75"/>
        <v>0</v>
      </c>
      <c r="N148" s="78">
        <f t="shared" si="75"/>
        <v>0</v>
      </c>
      <c r="O148" s="78">
        <f t="shared" si="75"/>
        <v>0</v>
      </c>
      <c r="P148" s="78">
        <f t="shared" si="75"/>
        <v>0</v>
      </c>
      <c r="Q148" s="78">
        <f t="shared" si="75"/>
        <v>0</v>
      </c>
      <c r="R148" s="78">
        <f t="shared" si="75"/>
        <v>0</v>
      </c>
      <c r="S148" s="78">
        <f t="shared" si="75"/>
        <v>0</v>
      </c>
      <c r="T148" s="78">
        <f t="shared" si="75"/>
        <v>0</v>
      </c>
      <c r="U148" s="78">
        <f t="shared" si="75"/>
        <v>0</v>
      </c>
      <c r="V148" s="78">
        <f t="shared" si="75"/>
        <v>0</v>
      </c>
      <c r="W148" s="78">
        <f t="shared" si="75"/>
        <v>0</v>
      </c>
      <c r="X148" s="78">
        <f t="shared" si="76"/>
        <v>0</v>
      </c>
      <c r="Y148" s="78">
        <f t="shared" si="76"/>
        <v>0</v>
      </c>
      <c r="Z148" s="79">
        <f>SIS064_F_Rinkostyrimusa1Elektrosenergi5</f>
        <v>0</v>
      </c>
      <c r="AA148" s="79">
        <f>SUM(SIS062_F_Rinkostyrimusa1Geriamojovande1,SIS063_F_Rinkostyrimusa1Geriamojovande1,SIS065_F_Rinkostyrimusa1Geriamojovande1)</f>
        <v>0</v>
      </c>
      <c r="AB148" s="79">
        <f>SUM(SIS062_F_Rinkostyrimusa1Paslaugaproduk8,SIS063_F_Rinkostyrimusa1Paslaugaproduk8,SIS065_F_Rinkostyrimusa1Paslaugaproduk8)</f>
        <v>0</v>
      </c>
      <c r="AC148" s="79">
        <f>SIS064_F_Rinkostyrimusa1Elektrosenergi6</f>
        <v>0</v>
      </c>
      <c r="AD148" s="79">
        <f>SUM(SIS062_F_Rinkostyrimusa1Paslaugaproduk9,SIS063_F_Rinkostyrimusa1Paslaugaproduk9,SIS065_F_Rinkostyrimusa1Paslaugaproduk9)</f>
        <v>0</v>
      </c>
      <c r="AE148" s="80">
        <v>0</v>
      </c>
      <c r="AF148" s="81">
        <v>0</v>
      </c>
      <c r="AG148" s="81">
        <v>0</v>
      </c>
      <c r="AH148" s="81">
        <v>0</v>
      </c>
      <c r="AI148" s="82">
        <v>0</v>
      </c>
      <c r="AJ148" s="82">
        <v>0</v>
      </c>
      <c r="AK148" s="82">
        <v>0</v>
      </c>
      <c r="AL148" s="82">
        <v>0</v>
      </c>
      <c r="AM148" s="82">
        <v>0</v>
      </c>
      <c r="AN148" s="82">
        <v>0</v>
      </c>
      <c r="AO148" s="82">
        <v>0</v>
      </c>
      <c r="AP148" s="82">
        <v>0</v>
      </c>
      <c r="AQ148" s="82">
        <v>0</v>
      </c>
      <c r="AR148" s="82">
        <v>0</v>
      </c>
      <c r="AS148" s="82">
        <v>0</v>
      </c>
      <c r="AT148" s="82">
        <v>0</v>
      </c>
      <c r="AU148" s="82">
        <v>0</v>
      </c>
      <c r="AV148" s="83">
        <v>0</v>
      </c>
      <c r="AW148" s="80"/>
      <c r="AX148" s="81"/>
      <c r="AY148" s="81"/>
      <c r="AZ148" s="81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3"/>
      <c r="BO148" s="80"/>
      <c r="BP148" s="81"/>
      <c r="BQ148" s="81"/>
      <c r="BR148" s="81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3"/>
      <c r="CG148" s="80"/>
      <c r="CH148" s="81"/>
      <c r="CI148" s="81"/>
      <c r="CJ148" s="81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3"/>
      <c r="CY148" s="80"/>
      <c r="CZ148" s="81"/>
      <c r="DA148" s="81"/>
      <c r="DB148" s="81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3"/>
      <c r="DQ148" s="80"/>
      <c r="DR148" s="81"/>
      <c r="DS148" s="81"/>
      <c r="DT148" s="81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3"/>
      <c r="EI148" s="80"/>
      <c r="EJ148" s="81"/>
      <c r="EK148" s="81"/>
      <c r="EL148" s="81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3"/>
    </row>
    <row r="149" spans="1:156">
      <c r="A149" s="11"/>
      <c r="B149" s="103" t="s">
        <v>263</v>
      </c>
      <c r="C149" s="108" t="s">
        <v>264</v>
      </c>
      <c r="D149" s="104"/>
      <c r="E149" s="104"/>
      <c r="F149" s="116"/>
      <c r="G149" s="75">
        <f t="shared" si="74"/>
        <v>0</v>
      </c>
      <c r="H149" s="76">
        <f t="shared" si="75"/>
        <v>0</v>
      </c>
      <c r="I149" s="77">
        <f t="shared" si="75"/>
        <v>0</v>
      </c>
      <c r="J149" s="77">
        <f t="shared" si="75"/>
        <v>0</v>
      </c>
      <c r="K149" s="77">
        <f t="shared" si="75"/>
        <v>0</v>
      </c>
      <c r="L149" s="78">
        <f t="shared" si="75"/>
        <v>0</v>
      </c>
      <c r="M149" s="78">
        <f t="shared" si="75"/>
        <v>0</v>
      </c>
      <c r="N149" s="78">
        <f t="shared" si="75"/>
        <v>0</v>
      </c>
      <c r="O149" s="78">
        <f t="shared" si="75"/>
        <v>0</v>
      </c>
      <c r="P149" s="78">
        <f t="shared" si="75"/>
        <v>0</v>
      </c>
      <c r="Q149" s="78">
        <f t="shared" si="75"/>
        <v>0</v>
      </c>
      <c r="R149" s="78">
        <f t="shared" si="75"/>
        <v>0</v>
      </c>
      <c r="S149" s="78">
        <f t="shared" si="75"/>
        <v>0</v>
      </c>
      <c r="T149" s="78">
        <f t="shared" si="75"/>
        <v>0</v>
      </c>
      <c r="U149" s="78">
        <f t="shared" si="75"/>
        <v>0</v>
      </c>
      <c r="V149" s="78">
        <f t="shared" si="75"/>
        <v>0</v>
      </c>
      <c r="W149" s="78">
        <f t="shared" si="75"/>
        <v>0</v>
      </c>
      <c r="X149" s="78">
        <f t="shared" si="76"/>
        <v>0</v>
      </c>
      <c r="Y149" s="78">
        <f t="shared" si="76"/>
        <v>0</v>
      </c>
      <c r="Z149" s="79">
        <f>SIS064_F_Saskaituvartot1Elektrosenergi5</f>
        <v>0</v>
      </c>
      <c r="AA149" s="79">
        <f>SUM(SIS062_F_Saskaituvartot1Geriamojovande1,SIS063_F_Saskaituvartot1Geriamojovande1,SIS065_F_Saskaituvartot1Geriamojovande1)</f>
        <v>0</v>
      </c>
      <c r="AB149" s="79">
        <f>SUM(SIS062_F_Saskaituvartot1Paslaugaproduk8,SIS063_F_Saskaituvartot1Paslaugaproduk8,SIS065_F_Saskaituvartot1Paslaugaproduk8)</f>
        <v>0</v>
      </c>
      <c r="AC149" s="79">
        <f>SIS064_F_Saskaituvartot1Elektrosenergi6</f>
        <v>0</v>
      </c>
      <c r="AD149" s="79">
        <f>SUM(SIS062_F_Saskaituvartot1Paslaugaproduk9,SIS063_F_Saskaituvartot1Paslaugaproduk9,SIS065_F_Saskaituvartot1Paslaugaproduk9)</f>
        <v>0</v>
      </c>
      <c r="AE149" s="80">
        <v>0</v>
      </c>
      <c r="AF149" s="81">
        <v>0</v>
      </c>
      <c r="AG149" s="81">
        <v>0</v>
      </c>
      <c r="AH149" s="81">
        <v>0</v>
      </c>
      <c r="AI149" s="82">
        <v>0</v>
      </c>
      <c r="AJ149" s="82">
        <v>0</v>
      </c>
      <c r="AK149" s="82">
        <v>0</v>
      </c>
      <c r="AL149" s="82">
        <v>0</v>
      </c>
      <c r="AM149" s="82">
        <v>0</v>
      </c>
      <c r="AN149" s="82">
        <v>0</v>
      </c>
      <c r="AO149" s="82">
        <v>0</v>
      </c>
      <c r="AP149" s="82">
        <v>0</v>
      </c>
      <c r="AQ149" s="82">
        <v>0</v>
      </c>
      <c r="AR149" s="82">
        <v>0</v>
      </c>
      <c r="AS149" s="82">
        <v>0</v>
      </c>
      <c r="AT149" s="82">
        <v>0</v>
      </c>
      <c r="AU149" s="82">
        <v>0</v>
      </c>
      <c r="AV149" s="83">
        <v>0</v>
      </c>
      <c r="AW149" s="80"/>
      <c r="AX149" s="81"/>
      <c r="AY149" s="81"/>
      <c r="AZ149" s="81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3"/>
      <c r="BO149" s="80"/>
      <c r="BP149" s="81"/>
      <c r="BQ149" s="81"/>
      <c r="BR149" s="81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3"/>
      <c r="CG149" s="80"/>
      <c r="CH149" s="81"/>
      <c r="CI149" s="81"/>
      <c r="CJ149" s="81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3"/>
      <c r="CY149" s="80"/>
      <c r="CZ149" s="81"/>
      <c r="DA149" s="81"/>
      <c r="DB149" s="81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3"/>
      <c r="DQ149" s="80"/>
      <c r="DR149" s="81"/>
      <c r="DS149" s="81"/>
      <c r="DT149" s="81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3"/>
      <c r="EI149" s="80"/>
      <c r="EJ149" s="81"/>
      <c r="EK149" s="81"/>
      <c r="EL149" s="81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3"/>
    </row>
    <row r="150" spans="1:156">
      <c r="A150" s="11"/>
      <c r="B150" s="103" t="s">
        <v>265</v>
      </c>
      <c r="C150" s="108" t="s">
        <v>266</v>
      </c>
      <c r="D150" s="104"/>
      <c r="E150" s="104"/>
      <c r="F150" s="116"/>
      <c r="G150" s="75">
        <f t="shared" si="74"/>
        <v>18593.53</v>
      </c>
      <c r="H150" s="76">
        <f t="shared" si="75"/>
        <v>0</v>
      </c>
      <c r="I150" s="77">
        <f t="shared" si="75"/>
        <v>0</v>
      </c>
      <c r="J150" s="77">
        <f t="shared" si="75"/>
        <v>0</v>
      </c>
      <c r="K150" s="77">
        <f t="shared" si="75"/>
        <v>0</v>
      </c>
      <c r="L150" s="78">
        <f t="shared" si="75"/>
        <v>0</v>
      </c>
      <c r="M150" s="78">
        <f t="shared" si="75"/>
        <v>0</v>
      </c>
      <c r="N150" s="78">
        <f t="shared" si="75"/>
        <v>0</v>
      </c>
      <c r="O150" s="78">
        <f t="shared" si="75"/>
        <v>0</v>
      </c>
      <c r="P150" s="78">
        <f t="shared" si="75"/>
        <v>17549.288614865032</v>
      </c>
      <c r="Q150" s="78">
        <f t="shared" si="75"/>
        <v>808.54281467506962</v>
      </c>
      <c r="R150" s="78">
        <f t="shared" si="75"/>
        <v>0</v>
      </c>
      <c r="S150" s="78">
        <f t="shared" si="75"/>
        <v>235.69857045989647</v>
      </c>
      <c r="T150" s="78">
        <f t="shared" si="75"/>
        <v>0</v>
      </c>
      <c r="U150" s="78">
        <f t="shared" si="75"/>
        <v>0</v>
      </c>
      <c r="V150" s="78">
        <f t="shared" si="75"/>
        <v>0</v>
      </c>
      <c r="W150" s="78">
        <f t="shared" si="75"/>
        <v>0</v>
      </c>
      <c r="X150" s="78">
        <f t="shared" si="76"/>
        <v>0</v>
      </c>
      <c r="Y150" s="78">
        <f t="shared" si="76"/>
        <v>0</v>
      </c>
      <c r="Z150" s="79">
        <f>SIS064_F_Vartotojumokej1Elektrosenergi5</f>
        <v>0</v>
      </c>
      <c r="AA150" s="79">
        <f>SUM(SIS062_F_Vartotojumokej1Geriamojovande1,SIS063_F_Vartotojumokej1Geriamojovande1,SIS065_F_Vartotojumokej1Geriamojovande1)</f>
        <v>0</v>
      </c>
      <c r="AB150" s="79">
        <f>SUM(SIS062_F_Vartotojumokej1Paslaugaproduk8,SIS063_F_Vartotojumokej1Paslaugaproduk8,SIS065_F_Vartotojumokej1Paslaugaproduk8)</f>
        <v>0</v>
      </c>
      <c r="AC150" s="79">
        <f>SIS064_F_Vartotojumokej1Elektrosenergi6</f>
        <v>0</v>
      </c>
      <c r="AD150" s="79">
        <f>SUM(SIS062_F_Vartotojumokej1Paslaugaproduk9,SIS063_F_Vartotojumokej1Paslaugaproduk9,SIS065_F_Vartotojumokej1Paslaugaproduk9)</f>
        <v>0</v>
      </c>
      <c r="AE150" s="80">
        <v>0</v>
      </c>
      <c r="AF150" s="81">
        <v>0</v>
      </c>
      <c r="AG150" s="81">
        <v>0</v>
      </c>
      <c r="AH150" s="81">
        <v>0</v>
      </c>
      <c r="AI150" s="82">
        <v>0</v>
      </c>
      <c r="AJ150" s="82">
        <v>0</v>
      </c>
      <c r="AK150" s="82">
        <v>0</v>
      </c>
      <c r="AL150" s="82">
        <v>0</v>
      </c>
      <c r="AM150" s="82">
        <v>17549.288614865032</v>
      </c>
      <c r="AN150" s="82">
        <v>808.54281467506962</v>
      </c>
      <c r="AO150" s="82">
        <v>0</v>
      </c>
      <c r="AP150" s="82">
        <v>235.69857045989647</v>
      </c>
      <c r="AQ150" s="82">
        <v>0</v>
      </c>
      <c r="AR150" s="82">
        <v>0</v>
      </c>
      <c r="AS150" s="82">
        <v>0</v>
      </c>
      <c r="AT150" s="82">
        <v>0</v>
      </c>
      <c r="AU150" s="82">
        <v>0</v>
      </c>
      <c r="AV150" s="83">
        <v>0</v>
      </c>
      <c r="AW150" s="80"/>
      <c r="AX150" s="81"/>
      <c r="AY150" s="81"/>
      <c r="AZ150" s="81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3"/>
      <c r="BO150" s="80"/>
      <c r="BP150" s="81"/>
      <c r="BQ150" s="81"/>
      <c r="BR150" s="81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3"/>
      <c r="CG150" s="80"/>
      <c r="CH150" s="81"/>
      <c r="CI150" s="81"/>
      <c r="CJ150" s="81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3"/>
      <c r="CY150" s="80"/>
      <c r="CZ150" s="81"/>
      <c r="DA150" s="81"/>
      <c r="DB150" s="81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3"/>
      <c r="DQ150" s="80"/>
      <c r="DR150" s="81"/>
      <c r="DS150" s="81"/>
      <c r="DT150" s="81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3"/>
      <c r="EI150" s="80"/>
      <c r="EJ150" s="81"/>
      <c r="EK150" s="81"/>
      <c r="EL150" s="81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3"/>
    </row>
    <row r="151" spans="1:156">
      <c r="A151" s="11"/>
      <c r="B151" s="103" t="s">
        <v>267</v>
      </c>
      <c r="C151" s="108" t="s">
        <v>268</v>
      </c>
      <c r="D151" s="104"/>
      <c r="E151" s="104"/>
      <c r="F151" s="116"/>
      <c r="G151" s="75">
        <f t="shared" si="74"/>
        <v>0</v>
      </c>
      <c r="H151" s="76">
        <f t="shared" si="75"/>
        <v>0</v>
      </c>
      <c r="I151" s="77">
        <f t="shared" si="75"/>
        <v>0</v>
      </c>
      <c r="J151" s="77">
        <f t="shared" si="75"/>
        <v>0</v>
      </c>
      <c r="K151" s="77">
        <f t="shared" si="75"/>
        <v>0</v>
      </c>
      <c r="L151" s="78">
        <f t="shared" si="75"/>
        <v>0</v>
      </c>
      <c r="M151" s="78">
        <f t="shared" si="75"/>
        <v>0</v>
      </c>
      <c r="N151" s="78">
        <f t="shared" si="75"/>
        <v>0</v>
      </c>
      <c r="O151" s="78">
        <f t="shared" si="75"/>
        <v>0</v>
      </c>
      <c r="P151" s="78">
        <f t="shared" si="75"/>
        <v>0</v>
      </c>
      <c r="Q151" s="78">
        <f t="shared" si="75"/>
        <v>0</v>
      </c>
      <c r="R151" s="78">
        <f t="shared" si="75"/>
        <v>0</v>
      </c>
      <c r="S151" s="78">
        <f t="shared" si="75"/>
        <v>0</v>
      </c>
      <c r="T151" s="78">
        <f t="shared" si="75"/>
        <v>0</v>
      </c>
      <c r="U151" s="78">
        <f t="shared" si="75"/>
        <v>0</v>
      </c>
      <c r="V151" s="78">
        <f t="shared" si="75"/>
        <v>0</v>
      </c>
      <c r="W151" s="78">
        <f t="shared" si="75"/>
        <v>0</v>
      </c>
      <c r="X151" s="78">
        <f t="shared" si="76"/>
        <v>0</v>
      </c>
      <c r="Y151" s="78">
        <f t="shared" si="76"/>
        <v>0</v>
      </c>
      <c r="Z151" s="79">
        <f>SIS064_F_Reprezentacijo1Elektrosenergi5</f>
        <v>0</v>
      </c>
      <c r="AA151" s="79">
        <f>SUM(SIS062_F_Reprezentacijo1Geriamojovande1,SIS063_F_Reprezentacijo1Geriamojovande1,SIS065_F_Reprezentacijo1Geriamojovande1)</f>
        <v>0</v>
      </c>
      <c r="AB151" s="79">
        <f>SUM(SIS062_F_Reprezentacijo1Paslaugaproduk8,SIS063_F_Reprezentacijo1Paslaugaproduk8,SIS065_F_Reprezentacijo1Paslaugaproduk8)</f>
        <v>0</v>
      </c>
      <c r="AC151" s="79">
        <f>SIS064_F_Reprezentacijo1Elektrosenergi6</f>
        <v>0</v>
      </c>
      <c r="AD151" s="79">
        <f>SUM(SIS062_F_Reprezentacijo1Paslaugaproduk9,SIS063_F_Reprezentacijo1Paslaugaproduk9,SIS065_F_Reprezentacijo1Paslaugaproduk9)</f>
        <v>0</v>
      </c>
      <c r="AE151" s="80">
        <v>0</v>
      </c>
      <c r="AF151" s="81">
        <v>0</v>
      </c>
      <c r="AG151" s="81">
        <v>0</v>
      </c>
      <c r="AH151" s="81">
        <v>0</v>
      </c>
      <c r="AI151" s="82">
        <v>0</v>
      </c>
      <c r="AJ151" s="82">
        <v>0</v>
      </c>
      <c r="AK151" s="82">
        <v>0</v>
      </c>
      <c r="AL151" s="82">
        <v>0</v>
      </c>
      <c r="AM151" s="82">
        <v>0</v>
      </c>
      <c r="AN151" s="82">
        <v>0</v>
      </c>
      <c r="AO151" s="82">
        <v>0</v>
      </c>
      <c r="AP151" s="82">
        <v>0</v>
      </c>
      <c r="AQ151" s="82">
        <v>0</v>
      </c>
      <c r="AR151" s="82">
        <v>0</v>
      </c>
      <c r="AS151" s="82">
        <v>0</v>
      </c>
      <c r="AT151" s="82">
        <v>0</v>
      </c>
      <c r="AU151" s="82">
        <v>0</v>
      </c>
      <c r="AV151" s="83">
        <v>0</v>
      </c>
      <c r="AW151" s="80"/>
      <c r="AX151" s="81"/>
      <c r="AY151" s="81"/>
      <c r="AZ151" s="81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3"/>
      <c r="BO151" s="80"/>
      <c r="BP151" s="81"/>
      <c r="BQ151" s="81"/>
      <c r="BR151" s="81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3"/>
      <c r="CG151" s="80"/>
      <c r="CH151" s="81"/>
      <c r="CI151" s="81"/>
      <c r="CJ151" s="81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3"/>
      <c r="CY151" s="80"/>
      <c r="CZ151" s="81"/>
      <c r="DA151" s="81"/>
      <c r="DB151" s="81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3"/>
      <c r="DQ151" s="80"/>
      <c r="DR151" s="81"/>
      <c r="DS151" s="81"/>
      <c r="DT151" s="81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3"/>
      <c r="EI151" s="80"/>
      <c r="EJ151" s="81"/>
      <c r="EK151" s="81"/>
      <c r="EL151" s="81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3"/>
    </row>
    <row r="152" spans="1:156">
      <c r="A152" s="11"/>
      <c r="B152" s="103" t="s">
        <v>269</v>
      </c>
      <c r="C152" s="104" t="s">
        <v>270</v>
      </c>
      <c r="D152" s="104"/>
      <c r="E152" s="104"/>
      <c r="F152" s="105"/>
      <c r="G152" s="75">
        <f t="shared" si="74"/>
        <v>0</v>
      </c>
      <c r="H152" s="76">
        <f t="shared" si="75"/>
        <v>0</v>
      </c>
      <c r="I152" s="77">
        <f t="shared" si="75"/>
        <v>0</v>
      </c>
      <c r="J152" s="77">
        <f t="shared" si="75"/>
        <v>0</v>
      </c>
      <c r="K152" s="77">
        <f t="shared" si="75"/>
        <v>0</v>
      </c>
      <c r="L152" s="78">
        <f t="shared" si="75"/>
        <v>0</v>
      </c>
      <c r="M152" s="78">
        <f t="shared" si="75"/>
        <v>0</v>
      </c>
      <c r="N152" s="78">
        <f t="shared" si="75"/>
        <v>0</v>
      </c>
      <c r="O152" s="78">
        <f t="shared" si="75"/>
        <v>0</v>
      </c>
      <c r="P152" s="78">
        <f t="shared" si="75"/>
        <v>0</v>
      </c>
      <c r="Q152" s="78">
        <f t="shared" si="75"/>
        <v>0</v>
      </c>
      <c r="R152" s="78">
        <f t="shared" si="75"/>
        <v>0</v>
      </c>
      <c r="S152" s="78">
        <f t="shared" si="75"/>
        <v>0</v>
      </c>
      <c r="T152" s="78">
        <f t="shared" si="75"/>
        <v>0</v>
      </c>
      <c r="U152" s="78">
        <f t="shared" si="75"/>
        <v>0</v>
      </c>
      <c r="V152" s="78">
        <f t="shared" si="75"/>
        <v>0</v>
      </c>
      <c r="W152" s="78">
        <f t="shared" si="75"/>
        <v>0</v>
      </c>
      <c r="X152" s="78">
        <f t="shared" si="76"/>
        <v>0</v>
      </c>
      <c r="Y152" s="78">
        <f t="shared" si="76"/>
        <v>0</v>
      </c>
      <c r="Z152" s="79">
        <f>SIS064_F_Svietimoirkons1Elektrosenergi5</f>
        <v>0</v>
      </c>
      <c r="AA152" s="79">
        <f>SUM(SIS062_F_Svietimoirkons1Geriamojovande1,SIS063_F_Svietimoirkons1Geriamojovande1,SIS065_F_Svietimoirkons1Geriamojovande1)</f>
        <v>0</v>
      </c>
      <c r="AB152" s="79">
        <f>SUM(SIS062_F_Svietimoirkons1Paslaugaproduk8,SIS063_F_Svietimoirkons1Paslaugaproduk8,SIS065_F_Svietimoirkons1Paslaugaproduk8)</f>
        <v>0</v>
      </c>
      <c r="AC152" s="79">
        <f>SIS064_F_Svietimoirkons1Elektrosenergi6</f>
        <v>0</v>
      </c>
      <c r="AD152" s="79">
        <f>SUM(SIS062_F_Svietimoirkons1Paslaugaproduk9,SIS063_F_Svietimoirkons1Paslaugaproduk9,SIS065_F_Svietimoirkons1Paslaugaproduk9)</f>
        <v>0</v>
      </c>
      <c r="AE152" s="80">
        <v>0</v>
      </c>
      <c r="AF152" s="81">
        <v>0</v>
      </c>
      <c r="AG152" s="81">
        <v>0</v>
      </c>
      <c r="AH152" s="81">
        <v>0</v>
      </c>
      <c r="AI152" s="82">
        <v>0</v>
      </c>
      <c r="AJ152" s="82">
        <v>0</v>
      </c>
      <c r="AK152" s="82">
        <v>0</v>
      </c>
      <c r="AL152" s="82">
        <v>0</v>
      </c>
      <c r="AM152" s="82">
        <v>0</v>
      </c>
      <c r="AN152" s="82">
        <v>0</v>
      </c>
      <c r="AO152" s="82">
        <v>0</v>
      </c>
      <c r="AP152" s="82">
        <v>0</v>
      </c>
      <c r="AQ152" s="82">
        <v>0</v>
      </c>
      <c r="AR152" s="82">
        <v>0</v>
      </c>
      <c r="AS152" s="82">
        <v>0</v>
      </c>
      <c r="AT152" s="82">
        <v>0</v>
      </c>
      <c r="AU152" s="82">
        <v>0</v>
      </c>
      <c r="AV152" s="83">
        <v>0</v>
      </c>
      <c r="AW152" s="80"/>
      <c r="AX152" s="81"/>
      <c r="AY152" s="81"/>
      <c r="AZ152" s="81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3"/>
      <c r="BO152" s="80"/>
      <c r="BP152" s="81"/>
      <c r="BQ152" s="81"/>
      <c r="BR152" s="81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3"/>
      <c r="CG152" s="80"/>
      <c r="CH152" s="81"/>
      <c r="CI152" s="81"/>
      <c r="CJ152" s="81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3"/>
      <c r="CY152" s="80"/>
      <c r="CZ152" s="81"/>
      <c r="DA152" s="81"/>
      <c r="DB152" s="81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3"/>
      <c r="DQ152" s="80"/>
      <c r="DR152" s="81"/>
      <c r="DS152" s="81"/>
      <c r="DT152" s="81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3"/>
      <c r="EI152" s="80"/>
      <c r="EJ152" s="81"/>
      <c r="EK152" s="81"/>
      <c r="EL152" s="81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3"/>
    </row>
    <row r="153" spans="1:156">
      <c r="A153" s="11"/>
      <c r="B153" s="103" t="s">
        <v>271</v>
      </c>
      <c r="C153" s="104" t="str">
        <f>SIS055_D_Kitosrinkodaro1</f>
        <v>Kitos rinkodaros, pardavimų sąnaudos (nurodyti)</v>
      </c>
      <c r="D153" s="104"/>
      <c r="E153" s="104"/>
      <c r="F153" s="105"/>
      <c r="G153" s="75">
        <f t="shared" si="74"/>
        <v>0</v>
      </c>
      <c r="H153" s="76">
        <f t="shared" si="75"/>
        <v>0</v>
      </c>
      <c r="I153" s="77">
        <f t="shared" si="75"/>
        <v>0</v>
      </c>
      <c r="J153" s="77">
        <f t="shared" si="75"/>
        <v>0</v>
      </c>
      <c r="K153" s="77">
        <f t="shared" si="75"/>
        <v>0</v>
      </c>
      <c r="L153" s="78">
        <f t="shared" si="75"/>
        <v>0</v>
      </c>
      <c r="M153" s="78">
        <f t="shared" si="75"/>
        <v>0</v>
      </c>
      <c r="N153" s="78">
        <f t="shared" si="75"/>
        <v>0</v>
      </c>
      <c r="O153" s="78">
        <f t="shared" si="75"/>
        <v>0</v>
      </c>
      <c r="P153" s="78">
        <f t="shared" si="75"/>
        <v>0</v>
      </c>
      <c r="Q153" s="78">
        <f t="shared" si="75"/>
        <v>0</v>
      </c>
      <c r="R153" s="78">
        <f t="shared" si="75"/>
        <v>0</v>
      </c>
      <c r="S153" s="78">
        <f t="shared" si="75"/>
        <v>0</v>
      </c>
      <c r="T153" s="78">
        <f t="shared" si="75"/>
        <v>0</v>
      </c>
      <c r="U153" s="78">
        <f t="shared" si="75"/>
        <v>0</v>
      </c>
      <c r="V153" s="78">
        <f t="shared" si="75"/>
        <v>0</v>
      </c>
      <c r="W153" s="78">
        <f t="shared" si="75"/>
        <v>0</v>
      </c>
      <c r="X153" s="78">
        <f t="shared" si="76"/>
        <v>0</v>
      </c>
      <c r="Y153" s="78">
        <f t="shared" si="76"/>
        <v>0</v>
      </c>
      <c r="Z153" s="79">
        <f>SIS064_F_Kitosrinkodaro1Elektrosenergi5</f>
        <v>0</v>
      </c>
      <c r="AA153" s="79">
        <f>SUM(SIS062_F_Kitosrinkodaro1Geriamojovande1,SIS063_F_Kitosrinkodaro1Geriamojovande1,SIS065_F_Kitosrinkodaro1Geriamojovande1)</f>
        <v>0</v>
      </c>
      <c r="AB153" s="79">
        <f>SUM(SIS062_F_Kitosrinkodaro1Paslaugaproduk8,SIS063_F_Kitosrinkodaro1Paslaugaproduk8,SIS065_F_Kitosrinkodaro1Paslaugaproduk8)</f>
        <v>0</v>
      </c>
      <c r="AC153" s="79">
        <f>SIS064_F_Kitosrinkodaro1Elektrosenergi6</f>
        <v>0</v>
      </c>
      <c r="AD153" s="79">
        <f>SUM(SIS062_F_Kitosrinkodaro1Paslaugaproduk9,SIS063_F_Kitosrinkodaro1Paslaugaproduk9,SIS065_F_Kitosrinkodaro1Paslaugaproduk9)</f>
        <v>0</v>
      </c>
      <c r="AE153" s="80">
        <v>0</v>
      </c>
      <c r="AF153" s="81">
        <v>0</v>
      </c>
      <c r="AG153" s="81">
        <v>0</v>
      </c>
      <c r="AH153" s="81">
        <v>0</v>
      </c>
      <c r="AI153" s="82">
        <v>0</v>
      </c>
      <c r="AJ153" s="82">
        <v>0</v>
      </c>
      <c r="AK153" s="82">
        <v>0</v>
      </c>
      <c r="AL153" s="82">
        <v>0</v>
      </c>
      <c r="AM153" s="82">
        <v>0</v>
      </c>
      <c r="AN153" s="82">
        <v>0</v>
      </c>
      <c r="AO153" s="82">
        <v>0</v>
      </c>
      <c r="AP153" s="82">
        <v>0</v>
      </c>
      <c r="AQ153" s="82">
        <v>0</v>
      </c>
      <c r="AR153" s="82">
        <v>0</v>
      </c>
      <c r="AS153" s="82">
        <v>0</v>
      </c>
      <c r="AT153" s="82">
        <v>0</v>
      </c>
      <c r="AU153" s="82">
        <v>0</v>
      </c>
      <c r="AV153" s="83">
        <v>0</v>
      </c>
      <c r="AW153" s="80"/>
      <c r="AX153" s="81"/>
      <c r="AY153" s="81"/>
      <c r="AZ153" s="81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3"/>
      <c r="BO153" s="80"/>
      <c r="BP153" s="81"/>
      <c r="BQ153" s="81"/>
      <c r="BR153" s="81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3"/>
      <c r="CG153" s="80"/>
      <c r="CH153" s="81"/>
      <c r="CI153" s="81"/>
      <c r="CJ153" s="81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3"/>
      <c r="CY153" s="80"/>
      <c r="CZ153" s="81"/>
      <c r="DA153" s="81"/>
      <c r="DB153" s="81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3"/>
      <c r="DQ153" s="80"/>
      <c r="DR153" s="81"/>
      <c r="DS153" s="81"/>
      <c r="DT153" s="81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3"/>
      <c r="EI153" s="80"/>
      <c r="EJ153" s="81"/>
      <c r="EK153" s="81"/>
      <c r="EL153" s="81"/>
      <c r="EM153" s="82"/>
      <c r="EN153" s="82"/>
      <c r="EO153" s="82"/>
      <c r="EP153" s="82"/>
      <c r="EQ153" s="82"/>
      <c r="ER153" s="82"/>
      <c r="ES153" s="82"/>
      <c r="ET153" s="82"/>
      <c r="EU153" s="82"/>
      <c r="EV153" s="82"/>
      <c r="EW153" s="82"/>
      <c r="EX153" s="82"/>
      <c r="EY153" s="82"/>
      <c r="EZ153" s="83"/>
    </row>
    <row r="154" spans="1:156">
      <c r="A154" s="11"/>
      <c r="B154" s="103" t="s">
        <v>272</v>
      </c>
      <c r="C154" s="104" t="str">
        <f>SIS055_D_Kitosrinkodaro2</f>
        <v>Kitos rinkodaros, pardavimų sąnaudos (nurodyti)</v>
      </c>
      <c r="D154" s="104"/>
      <c r="E154" s="104"/>
      <c r="F154" s="105"/>
      <c r="G154" s="75">
        <f t="shared" si="74"/>
        <v>0</v>
      </c>
      <c r="H154" s="76">
        <f t="shared" si="75"/>
        <v>0</v>
      </c>
      <c r="I154" s="77">
        <f t="shared" si="75"/>
        <v>0</v>
      </c>
      <c r="J154" s="77">
        <f t="shared" si="75"/>
        <v>0</v>
      </c>
      <c r="K154" s="77">
        <f t="shared" si="75"/>
        <v>0</v>
      </c>
      <c r="L154" s="78">
        <f t="shared" si="75"/>
        <v>0</v>
      </c>
      <c r="M154" s="78">
        <f t="shared" si="75"/>
        <v>0</v>
      </c>
      <c r="N154" s="78">
        <f t="shared" si="75"/>
        <v>0</v>
      </c>
      <c r="O154" s="78">
        <f t="shared" si="75"/>
        <v>0</v>
      </c>
      <c r="P154" s="78">
        <f t="shared" si="75"/>
        <v>0</v>
      </c>
      <c r="Q154" s="78">
        <f t="shared" si="75"/>
        <v>0</v>
      </c>
      <c r="R154" s="78">
        <f t="shared" si="75"/>
        <v>0</v>
      </c>
      <c r="S154" s="78">
        <f t="shared" si="75"/>
        <v>0</v>
      </c>
      <c r="T154" s="78">
        <f t="shared" si="75"/>
        <v>0</v>
      </c>
      <c r="U154" s="78">
        <f t="shared" si="75"/>
        <v>0</v>
      </c>
      <c r="V154" s="78">
        <f t="shared" si="75"/>
        <v>0</v>
      </c>
      <c r="W154" s="78">
        <f t="shared" si="75"/>
        <v>0</v>
      </c>
      <c r="X154" s="78">
        <f t="shared" si="76"/>
        <v>0</v>
      </c>
      <c r="Y154" s="78">
        <f t="shared" si="76"/>
        <v>0</v>
      </c>
      <c r="Z154" s="79">
        <f>SIS064_F_Kitosrinkodaro2Elektrosenergi5</f>
        <v>0</v>
      </c>
      <c r="AA154" s="79">
        <f>SUM(SIS062_F_Kitosrinkodaro2Geriamojovande1,SIS063_F_Kitosrinkodaro2Geriamojovande1,SIS065_F_Kitosrinkodaro2Geriamojovande1)</f>
        <v>0</v>
      </c>
      <c r="AB154" s="79">
        <f>SUM(SIS062_F_Kitosrinkodaro2Paslaugaproduk8,SIS063_F_Kitosrinkodaro2Paslaugaproduk8,SIS065_F_Kitosrinkodaro2Paslaugaproduk8)</f>
        <v>0</v>
      </c>
      <c r="AC154" s="79">
        <f>SIS064_F_Kitosrinkodaro2Elektrosenergi6</f>
        <v>0</v>
      </c>
      <c r="AD154" s="79">
        <f>SUM(SIS062_F_Kitosrinkodaro2Paslaugaproduk9,SIS063_F_Kitosrinkodaro2Paslaugaproduk9,SIS065_F_Kitosrinkodaro2Paslaugaproduk9)</f>
        <v>0</v>
      </c>
      <c r="AE154" s="80">
        <v>0</v>
      </c>
      <c r="AF154" s="81">
        <v>0</v>
      </c>
      <c r="AG154" s="81">
        <v>0</v>
      </c>
      <c r="AH154" s="81">
        <v>0</v>
      </c>
      <c r="AI154" s="82">
        <v>0</v>
      </c>
      <c r="AJ154" s="82">
        <v>0</v>
      </c>
      <c r="AK154" s="82">
        <v>0</v>
      </c>
      <c r="AL154" s="82">
        <v>0</v>
      </c>
      <c r="AM154" s="82">
        <v>0</v>
      </c>
      <c r="AN154" s="82">
        <v>0</v>
      </c>
      <c r="AO154" s="82">
        <v>0</v>
      </c>
      <c r="AP154" s="82">
        <v>0</v>
      </c>
      <c r="AQ154" s="82">
        <v>0</v>
      </c>
      <c r="AR154" s="82">
        <v>0</v>
      </c>
      <c r="AS154" s="82">
        <v>0</v>
      </c>
      <c r="AT154" s="82">
        <v>0</v>
      </c>
      <c r="AU154" s="82">
        <v>0</v>
      </c>
      <c r="AV154" s="83">
        <v>0</v>
      </c>
      <c r="AW154" s="80"/>
      <c r="AX154" s="81"/>
      <c r="AY154" s="81"/>
      <c r="AZ154" s="81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3"/>
      <c r="BO154" s="80"/>
      <c r="BP154" s="81"/>
      <c r="BQ154" s="81"/>
      <c r="BR154" s="81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3"/>
      <c r="CG154" s="80"/>
      <c r="CH154" s="81"/>
      <c r="CI154" s="81"/>
      <c r="CJ154" s="81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3"/>
      <c r="CY154" s="80"/>
      <c r="CZ154" s="81"/>
      <c r="DA154" s="81"/>
      <c r="DB154" s="81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3"/>
      <c r="DQ154" s="80"/>
      <c r="DR154" s="81"/>
      <c r="DS154" s="81"/>
      <c r="DT154" s="81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3"/>
      <c r="EI154" s="80"/>
      <c r="EJ154" s="81"/>
      <c r="EK154" s="81"/>
      <c r="EL154" s="81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3"/>
    </row>
    <row r="155" spans="1:156">
      <c r="A155" s="11"/>
      <c r="B155" s="84" t="s">
        <v>273</v>
      </c>
      <c r="C155" s="109" t="s">
        <v>274</v>
      </c>
      <c r="D155" s="110"/>
      <c r="E155" s="110"/>
      <c r="F155" s="111"/>
      <c r="G155" s="101">
        <f t="shared" ref="G155:AD155" si="77">SUM(G156:G157)</f>
        <v>0</v>
      </c>
      <c r="H155" s="88">
        <f t="shared" si="77"/>
        <v>0</v>
      </c>
      <c r="I155" s="89">
        <f t="shared" si="77"/>
        <v>0</v>
      </c>
      <c r="J155" s="89">
        <f t="shared" si="77"/>
        <v>0</v>
      </c>
      <c r="K155" s="89">
        <f t="shared" si="77"/>
        <v>0</v>
      </c>
      <c r="L155" s="90">
        <f t="shared" si="77"/>
        <v>0</v>
      </c>
      <c r="M155" s="90">
        <f t="shared" si="77"/>
        <v>0</v>
      </c>
      <c r="N155" s="90">
        <f t="shared" si="77"/>
        <v>0</v>
      </c>
      <c r="O155" s="90">
        <f t="shared" si="77"/>
        <v>0</v>
      </c>
      <c r="P155" s="90">
        <f t="shared" si="77"/>
        <v>0</v>
      </c>
      <c r="Q155" s="90">
        <f t="shared" si="77"/>
        <v>0</v>
      </c>
      <c r="R155" s="90">
        <f t="shared" si="77"/>
        <v>0</v>
      </c>
      <c r="S155" s="90">
        <f t="shared" si="77"/>
        <v>0</v>
      </c>
      <c r="T155" s="90">
        <f t="shared" si="77"/>
        <v>0</v>
      </c>
      <c r="U155" s="90">
        <f t="shared" si="77"/>
        <v>0</v>
      </c>
      <c r="V155" s="90">
        <f t="shared" si="77"/>
        <v>0</v>
      </c>
      <c r="W155" s="90">
        <f t="shared" si="77"/>
        <v>0</v>
      </c>
      <c r="X155" s="90">
        <f t="shared" si="77"/>
        <v>0</v>
      </c>
      <c r="Y155" s="90">
        <f t="shared" si="77"/>
        <v>0</v>
      </c>
      <c r="Z155" s="90">
        <f t="shared" si="77"/>
        <v>0</v>
      </c>
      <c r="AA155" s="90">
        <f t="shared" si="77"/>
        <v>0</v>
      </c>
      <c r="AB155" s="90">
        <f t="shared" si="77"/>
        <v>0</v>
      </c>
      <c r="AC155" s="90">
        <f t="shared" si="77"/>
        <v>0</v>
      </c>
      <c r="AD155" s="90">
        <f t="shared" si="77"/>
        <v>0</v>
      </c>
      <c r="AE155" s="88">
        <f t="shared" ref="AE155:CP155" si="78">SUM(AE156:AE157)</f>
        <v>0</v>
      </c>
      <c r="AF155" s="89">
        <f t="shared" si="78"/>
        <v>0</v>
      </c>
      <c r="AG155" s="89">
        <f t="shared" si="78"/>
        <v>0</v>
      </c>
      <c r="AH155" s="89">
        <f t="shared" si="78"/>
        <v>0</v>
      </c>
      <c r="AI155" s="90">
        <f t="shared" si="78"/>
        <v>0</v>
      </c>
      <c r="AJ155" s="90">
        <f t="shared" si="78"/>
        <v>0</v>
      </c>
      <c r="AK155" s="90">
        <f t="shared" si="78"/>
        <v>0</v>
      </c>
      <c r="AL155" s="90">
        <f t="shared" si="78"/>
        <v>0</v>
      </c>
      <c r="AM155" s="90">
        <f t="shared" si="78"/>
        <v>0</v>
      </c>
      <c r="AN155" s="90">
        <f t="shared" si="78"/>
        <v>0</v>
      </c>
      <c r="AO155" s="90">
        <f t="shared" si="78"/>
        <v>0</v>
      </c>
      <c r="AP155" s="90">
        <f t="shared" si="78"/>
        <v>0</v>
      </c>
      <c r="AQ155" s="90">
        <f t="shared" si="78"/>
        <v>0</v>
      </c>
      <c r="AR155" s="90">
        <f t="shared" si="78"/>
        <v>0</v>
      </c>
      <c r="AS155" s="90">
        <f t="shared" si="78"/>
        <v>0</v>
      </c>
      <c r="AT155" s="90">
        <f t="shared" si="78"/>
        <v>0</v>
      </c>
      <c r="AU155" s="90">
        <f t="shared" si="78"/>
        <v>0</v>
      </c>
      <c r="AV155" s="91">
        <f t="shared" si="78"/>
        <v>0</v>
      </c>
      <c r="AW155" s="88">
        <f t="shared" si="78"/>
        <v>0</v>
      </c>
      <c r="AX155" s="89">
        <f t="shared" si="78"/>
        <v>0</v>
      </c>
      <c r="AY155" s="89">
        <f t="shared" si="78"/>
        <v>0</v>
      </c>
      <c r="AZ155" s="89">
        <f t="shared" si="78"/>
        <v>0</v>
      </c>
      <c r="BA155" s="90">
        <f t="shared" si="78"/>
        <v>0</v>
      </c>
      <c r="BB155" s="90">
        <f t="shared" si="78"/>
        <v>0</v>
      </c>
      <c r="BC155" s="90">
        <f t="shared" si="78"/>
        <v>0</v>
      </c>
      <c r="BD155" s="90">
        <f t="shared" si="78"/>
        <v>0</v>
      </c>
      <c r="BE155" s="90">
        <f t="shared" si="78"/>
        <v>0</v>
      </c>
      <c r="BF155" s="90">
        <f t="shared" si="78"/>
        <v>0</v>
      </c>
      <c r="BG155" s="90">
        <f t="shared" si="78"/>
        <v>0</v>
      </c>
      <c r="BH155" s="90">
        <f t="shared" si="78"/>
        <v>0</v>
      </c>
      <c r="BI155" s="90">
        <f t="shared" si="78"/>
        <v>0</v>
      </c>
      <c r="BJ155" s="90">
        <f t="shared" si="78"/>
        <v>0</v>
      </c>
      <c r="BK155" s="90">
        <f t="shared" si="78"/>
        <v>0</v>
      </c>
      <c r="BL155" s="90">
        <f t="shared" si="78"/>
        <v>0</v>
      </c>
      <c r="BM155" s="90">
        <f t="shared" si="78"/>
        <v>0</v>
      </c>
      <c r="BN155" s="91">
        <f t="shared" si="78"/>
        <v>0</v>
      </c>
      <c r="BO155" s="88">
        <f t="shared" si="78"/>
        <v>0</v>
      </c>
      <c r="BP155" s="89">
        <f t="shared" si="78"/>
        <v>0</v>
      </c>
      <c r="BQ155" s="89">
        <f t="shared" si="78"/>
        <v>0</v>
      </c>
      <c r="BR155" s="89">
        <f t="shared" si="78"/>
        <v>0</v>
      </c>
      <c r="BS155" s="90">
        <f t="shared" si="78"/>
        <v>0</v>
      </c>
      <c r="BT155" s="90">
        <f t="shared" si="78"/>
        <v>0</v>
      </c>
      <c r="BU155" s="90">
        <f t="shared" si="78"/>
        <v>0</v>
      </c>
      <c r="BV155" s="90">
        <f t="shared" si="78"/>
        <v>0</v>
      </c>
      <c r="BW155" s="90">
        <f t="shared" si="78"/>
        <v>0</v>
      </c>
      <c r="BX155" s="90">
        <f t="shared" si="78"/>
        <v>0</v>
      </c>
      <c r="BY155" s="90">
        <f t="shared" si="78"/>
        <v>0</v>
      </c>
      <c r="BZ155" s="90">
        <f t="shared" si="78"/>
        <v>0</v>
      </c>
      <c r="CA155" s="90">
        <f t="shared" si="78"/>
        <v>0</v>
      </c>
      <c r="CB155" s="90">
        <f t="shared" si="78"/>
        <v>0</v>
      </c>
      <c r="CC155" s="90">
        <f t="shared" si="78"/>
        <v>0</v>
      </c>
      <c r="CD155" s="90">
        <f t="shared" si="78"/>
        <v>0</v>
      </c>
      <c r="CE155" s="90">
        <f t="shared" si="78"/>
        <v>0</v>
      </c>
      <c r="CF155" s="91">
        <f t="shared" si="78"/>
        <v>0</v>
      </c>
      <c r="CG155" s="88">
        <f t="shared" si="78"/>
        <v>0</v>
      </c>
      <c r="CH155" s="89">
        <f t="shared" si="78"/>
        <v>0</v>
      </c>
      <c r="CI155" s="89">
        <f t="shared" si="78"/>
        <v>0</v>
      </c>
      <c r="CJ155" s="89">
        <f t="shared" si="78"/>
        <v>0</v>
      </c>
      <c r="CK155" s="90">
        <f t="shared" si="78"/>
        <v>0</v>
      </c>
      <c r="CL155" s="90">
        <f t="shared" si="78"/>
        <v>0</v>
      </c>
      <c r="CM155" s="90">
        <f t="shared" si="78"/>
        <v>0</v>
      </c>
      <c r="CN155" s="90">
        <f t="shared" si="78"/>
        <v>0</v>
      </c>
      <c r="CO155" s="90">
        <f t="shared" si="78"/>
        <v>0</v>
      </c>
      <c r="CP155" s="90">
        <f t="shared" si="78"/>
        <v>0</v>
      </c>
      <c r="CQ155" s="90">
        <f t="shared" ref="CQ155:EZ155" si="79">SUM(CQ156:CQ157)</f>
        <v>0</v>
      </c>
      <c r="CR155" s="90">
        <f t="shared" si="79"/>
        <v>0</v>
      </c>
      <c r="CS155" s="90">
        <f t="shared" si="79"/>
        <v>0</v>
      </c>
      <c r="CT155" s="90">
        <f t="shared" si="79"/>
        <v>0</v>
      </c>
      <c r="CU155" s="90">
        <f t="shared" si="79"/>
        <v>0</v>
      </c>
      <c r="CV155" s="90">
        <f t="shared" si="79"/>
        <v>0</v>
      </c>
      <c r="CW155" s="90">
        <f t="shared" si="79"/>
        <v>0</v>
      </c>
      <c r="CX155" s="91">
        <f t="shared" si="79"/>
        <v>0</v>
      </c>
      <c r="CY155" s="88">
        <f t="shared" si="79"/>
        <v>0</v>
      </c>
      <c r="CZ155" s="89">
        <f t="shared" si="79"/>
        <v>0</v>
      </c>
      <c r="DA155" s="89">
        <f t="shared" si="79"/>
        <v>0</v>
      </c>
      <c r="DB155" s="89">
        <f t="shared" si="79"/>
        <v>0</v>
      </c>
      <c r="DC155" s="90">
        <f t="shared" si="79"/>
        <v>0</v>
      </c>
      <c r="DD155" s="90">
        <f t="shared" si="79"/>
        <v>0</v>
      </c>
      <c r="DE155" s="90">
        <f t="shared" si="79"/>
        <v>0</v>
      </c>
      <c r="DF155" s="90">
        <f t="shared" si="79"/>
        <v>0</v>
      </c>
      <c r="DG155" s="90">
        <f t="shared" si="79"/>
        <v>0</v>
      </c>
      <c r="DH155" s="90">
        <f t="shared" si="79"/>
        <v>0</v>
      </c>
      <c r="DI155" s="90">
        <f t="shared" si="79"/>
        <v>0</v>
      </c>
      <c r="DJ155" s="90">
        <f t="shared" si="79"/>
        <v>0</v>
      </c>
      <c r="DK155" s="90">
        <f t="shared" si="79"/>
        <v>0</v>
      </c>
      <c r="DL155" s="90">
        <f t="shared" si="79"/>
        <v>0</v>
      </c>
      <c r="DM155" s="90">
        <f t="shared" si="79"/>
        <v>0</v>
      </c>
      <c r="DN155" s="90">
        <f t="shared" si="79"/>
        <v>0</v>
      </c>
      <c r="DO155" s="90">
        <f t="shared" si="79"/>
        <v>0</v>
      </c>
      <c r="DP155" s="91">
        <f t="shared" si="79"/>
        <v>0</v>
      </c>
      <c r="DQ155" s="88">
        <f t="shared" si="79"/>
        <v>0</v>
      </c>
      <c r="DR155" s="89">
        <f t="shared" si="79"/>
        <v>0</v>
      </c>
      <c r="DS155" s="89">
        <f t="shared" si="79"/>
        <v>0</v>
      </c>
      <c r="DT155" s="89">
        <f t="shared" si="79"/>
        <v>0</v>
      </c>
      <c r="DU155" s="90">
        <f t="shared" si="79"/>
        <v>0</v>
      </c>
      <c r="DV155" s="90">
        <f t="shared" si="79"/>
        <v>0</v>
      </c>
      <c r="DW155" s="90">
        <f t="shared" si="79"/>
        <v>0</v>
      </c>
      <c r="DX155" s="90">
        <f t="shared" si="79"/>
        <v>0</v>
      </c>
      <c r="DY155" s="90">
        <f t="shared" si="79"/>
        <v>0</v>
      </c>
      <c r="DZ155" s="90">
        <f t="shared" si="79"/>
        <v>0</v>
      </c>
      <c r="EA155" s="90">
        <f t="shared" si="79"/>
        <v>0</v>
      </c>
      <c r="EB155" s="90">
        <f t="shared" si="79"/>
        <v>0</v>
      </c>
      <c r="EC155" s="90">
        <f t="shared" si="79"/>
        <v>0</v>
      </c>
      <c r="ED155" s="90">
        <f t="shared" si="79"/>
        <v>0</v>
      </c>
      <c r="EE155" s="90">
        <f t="shared" si="79"/>
        <v>0</v>
      </c>
      <c r="EF155" s="90">
        <f t="shared" si="79"/>
        <v>0</v>
      </c>
      <c r="EG155" s="90">
        <f t="shared" si="79"/>
        <v>0</v>
      </c>
      <c r="EH155" s="91">
        <f t="shared" si="79"/>
        <v>0</v>
      </c>
      <c r="EI155" s="88">
        <f t="shared" si="79"/>
        <v>0</v>
      </c>
      <c r="EJ155" s="89">
        <f t="shared" si="79"/>
        <v>0</v>
      </c>
      <c r="EK155" s="89">
        <f t="shared" si="79"/>
        <v>0</v>
      </c>
      <c r="EL155" s="89">
        <f t="shared" si="79"/>
        <v>0</v>
      </c>
      <c r="EM155" s="90">
        <f t="shared" si="79"/>
        <v>0</v>
      </c>
      <c r="EN155" s="90">
        <f t="shared" si="79"/>
        <v>0</v>
      </c>
      <c r="EO155" s="90">
        <f t="shared" si="79"/>
        <v>0</v>
      </c>
      <c r="EP155" s="90">
        <f t="shared" si="79"/>
        <v>0</v>
      </c>
      <c r="EQ155" s="90">
        <f t="shared" si="79"/>
        <v>0</v>
      </c>
      <c r="ER155" s="90">
        <f t="shared" si="79"/>
        <v>0</v>
      </c>
      <c r="ES155" s="90">
        <f t="shared" si="79"/>
        <v>0</v>
      </c>
      <c r="ET155" s="90">
        <f t="shared" si="79"/>
        <v>0</v>
      </c>
      <c r="EU155" s="90">
        <f t="shared" si="79"/>
        <v>0</v>
      </c>
      <c r="EV155" s="90">
        <f t="shared" si="79"/>
        <v>0</v>
      </c>
      <c r="EW155" s="90">
        <f t="shared" si="79"/>
        <v>0</v>
      </c>
      <c r="EX155" s="90">
        <f t="shared" si="79"/>
        <v>0</v>
      </c>
      <c r="EY155" s="90">
        <f t="shared" si="79"/>
        <v>0</v>
      </c>
      <c r="EZ155" s="91">
        <f t="shared" si="79"/>
        <v>0</v>
      </c>
    </row>
    <row r="156" spans="1:156">
      <c r="A156" s="11"/>
      <c r="B156" s="71" t="s">
        <v>275</v>
      </c>
      <c r="C156" s="92" t="s">
        <v>276</v>
      </c>
      <c r="D156" s="93"/>
      <c r="E156" s="93"/>
      <c r="F156" s="94"/>
      <c r="G156" s="75">
        <f>SUM(H156:AD156)</f>
        <v>0</v>
      </c>
      <c r="H156" s="125">
        <f t="shared" ref="H156:W157" si="80">SUM(AE156,AW156,BO156,CG156,CY156,DQ156,EI156)</f>
        <v>0</v>
      </c>
      <c r="I156" s="126">
        <f t="shared" si="80"/>
        <v>0</v>
      </c>
      <c r="J156" s="126">
        <f t="shared" si="80"/>
        <v>0</v>
      </c>
      <c r="K156" s="126">
        <f t="shared" si="80"/>
        <v>0</v>
      </c>
      <c r="L156" s="127">
        <f t="shared" si="80"/>
        <v>0</v>
      </c>
      <c r="M156" s="127">
        <f t="shared" si="80"/>
        <v>0</v>
      </c>
      <c r="N156" s="127">
        <f t="shared" si="80"/>
        <v>0</v>
      </c>
      <c r="O156" s="127">
        <f t="shared" si="80"/>
        <v>0</v>
      </c>
      <c r="P156" s="127">
        <f t="shared" si="80"/>
        <v>0</v>
      </c>
      <c r="Q156" s="127">
        <f t="shared" si="80"/>
        <v>0</v>
      </c>
      <c r="R156" s="127">
        <f t="shared" si="80"/>
        <v>0</v>
      </c>
      <c r="S156" s="127">
        <f t="shared" si="80"/>
        <v>0</v>
      </c>
      <c r="T156" s="127">
        <f t="shared" si="80"/>
        <v>0</v>
      </c>
      <c r="U156" s="127">
        <f t="shared" si="80"/>
        <v>0</v>
      </c>
      <c r="V156" s="127">
        <f t="shared" si="80"/>
        <v>0</v>
      </c>
      <c r="W156" s="127">
        <f t="shared" si="80"/>
        <v>0</v>
      </c>
      <c r="X156" s="127">
        <f t="shared" ref="R156:Y157" si="81">SUM(AU156,BM156,CE156,CW156,DO156,EG156,EY156)</f>
        <v>0</v>
      </c>
      <c r="Y156" s="127">
        <f t="shared" si="81"/>
        <v>0</v>
      </c>
      <c r="Z156" s="120">
        <f>SIS064_F_Silumosukiotur2Elektrosenergi5</f>
        <v>0</v>
      </c>
      <c r="AA156" s="120">
        <f>SUM(SIS062_F_Silumosukiotur2Geriamojovande1,SIS063_F_Silumosukiotur2Geriamojovande1,SIS065_F_Silumosukiotur2Geriamojovande1)</f>
        <v>0</v>
      </c>
      <c r="AB156" s="120">
        <f>SUM(SIS062_F_Silumosukiotur2Paslaugaproduk8,SIS063_F_Silumosukiotur2Paslaugaproduk8,SIS065_F_Silumosukiotur2Paslaugaproduk8)</f>
        <v>0</v>
      </c>
      <c r="AC156" s="120">
        <f>SIS064_F_Silumosukiotur2Elektrosenergi6</f>
        <v>0</v>
      </c>
      <c r="AD156" s="120">
        <f>SUM(SIS062_F_Silumosukiotur2Paslaugaproduk9,SIS063_F_Silumosukiotur2Paslaugaproduk9,SIS065_F_Silumosukiotur2Paslaugaproduk9)</f>
        <v>0</v>
      </c>
      <c r="AE156" s="80">
        <v>0</v>
      </c>
      <c r="AF156" s="81">
        <v>0</v>
      </c>
      <c r="AG156" s="81">
        <v>0</v>
      </c>
      <c r="AH156" s="81">
        <v>0</v>
      </c>
      <c r="AI156" s="82">
        <v>0</v>
      </c>
      <c r="AJ156" s="82">
        <v>0</v>
      </c>
      <c r="AK156" s="82">
        <v>0</v>
      </c>
      <c r="AL156" s="82">
        <v>0</v>
      </c>
      <c r="AM156" s="82">
        <v>0</v>
      </c>
      <c r="AN156" s="82">
        <v>0</v>
      </c>
      <c r="AO156" s="82">
        <v>0</v>
      </c>
      <c r="AP156" s="82">
        <v>0</v>
      </c>
      <c r="AQ156" s="82">
        <v>0</v>
      </c>
      <c r="AR156" s="82">
        <v>0</v>
      </c>
      <c r="AS156" s="82">
        <v>0</v>
      </c>
      <c r="AT156" s="82">
        <v>0</v>
      </c>
      <c r="AU156" s="82">
        <v>0</v>
      </c>
      <c r="AV156" s="83">
        <v>0</v>
      </c>
      <c r="AW156" s="80"/>
      <c r="AX156" s="81"/>
      <c r="AY156" s="81"/>
      <c r="AZ156" s="81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3"/>
      <c r="BO156" s="80"/>
      <c r="BP156" s="81"/>
      <c r="BQ156" s="81"/>
      <c r="BR156" s="81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3"/>
      <c r="CG156" s="80"/>
      <c r="CH156" s="81"/>
      <c r="CI156" s="81"/>
      <c r="CJ156" s="81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3"/>
      <c r="CY156" s="80"/>
      <c r="CZ156" s="81"/>
      <c r="DA156" s="81"/>
      <c r="DB156" s="81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3"/>
      <c r="DQ156" s="80"/>
      <c r="DR156" s="81"/>
      <c r="DS156" s="81"/>
      <c r="DT156" s="81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3"/>
      <c r="EI156" s="80"/>
      <c r="EJ156" s="81"/>
      <c r="EK156" s="81"/>
      <c r="EL156" s="81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3"/>
    </row>
    <row r="157" spans="1:156">
      <c r="A157" s="11"/>
      <c r="B157" s="71" t="s">
        <v>277</v>
      </c>
      <c r="C157" s="113" t="str">
        <f>SIS055_D_Kitossanaudoss7</f>
        <v>Kitos sąnaudos, susijusios su šilumos ūkio turto nuoma, koncesija (nurodyti)</v>
      </c>
      <c r="D157" s="114"/>
      <c r="E157" s="114"/>
      <c r="F157" s="115"/>
      <c r="G157" s="75">
        <f>SUM(H157:AD157)</f>
        <v>0</v>
      </c>
      <c r="H157" s="125">
        <f t="shared" si="80"/>
        <v>0</v>
      </c>
      <c r="I157" s="126">
        <f t="shared" si="80"/>
        <v>0</v>
      </c>
      <c r="J157" s="126">
        <f t="shared" si="80"/>
        <v>0</v>
      </c>
      <c r="K157" s="126">
        <f t="shared" si="80"/>
        <v>0</v>
      </c>
      <c r="L157" s="127">
        <f t="shared" si="80"/>
        <v>0</v>
      </c>
      <c r="M157" s="127">
        <f t="shared" si="80"/>
        <v>0</v>
      </c>
      <c r="N157" s="127">
        <f t="shared" si="80"/>
        <v>0</v>
      </c>
      <c r="O157" s="127">
        <f t="shared" si="80"/>
        <v>0</v>
      </c>
      <c r="P157" s="127">
        <f t="shared" si="80"/>
        <v>0</v>
      </c>
      <c r="Q157" s="127">
        <f t="shared" si="80"/>
        <v>0</v>
      </c>
      <c r="R157" s="127">
        <f t="shared" si="81"/>
        <v>0</v>
      </c>
      <c r="S157" s="127">
        <f t="shared" si="81"/>
        <v>0</v>
      </c>
      <c r="T157" s="127">
        <f t="shared" si="81"/>
        <v>0</v>
      </c>
      <c r="U157" s="127">
        <f t="shared" si="81"/>
        <v>0</v>
      </c>
      <c r="V157" s="127">
        <f t="shared" si="81"/>
        <v>0</v>
      </c>
      <c r="W157" s="127">
        <f t="shared" si="81"/>
        <v>0</v>
      </c>
      <c r="X157" s="127">
        <f t="shared" si="81"/>
        <v>0</v>
      </c>
      <c r="Y157" s="127">
        <f t="shared" si="81"/>
        <v>0</v>
      </c>
      <c r="Z157" s="120">
        <f>SIS064_F_Kitossanaudoss7Elektrosenergi5</f>
        <v>0</v>
      </c>
      <c r="AA157" s="120">
        <f>SUM(SIS062_F_Kitossanaudoss7Geriamojovande1,SIS063_F_Kitossanaudoss7Geriamojovande1,SIS065_F_Kitossanaudoss7Geriamojovande1)</f>
        <v>0</v>
      </c>
      <c r="AB157" s="120">
        <f>SUM(SIS062_F_Kitossanaudoss7Paslaugaproduk8,SIS063_F_Kitossanaudoss7Paslaugaproduk8,SIS065_F_Kitossanaudoss7Paslaugaproduk8)</f>
        <v>0</v>
      </c>
      <c r="AC157" s="120">
        <f>SIS064_F_Kitossanaudoss7Elektrosenergi6</f>
        <v>0</v>
      </c>
      <c r="AD157" s="120">
        <f>SUM(SIS062_F_Kitossanaudoss7Paslaugaproduk9,SIS063_F_Kitossanaudoss7Paslaugaproduk9,SIS065_F_Kitossanaudoss7Paslaugaproduk9)</f>
        <v>0</v>
      </c>
      <c r="AE157" s="80">
        <v>0</v>
      </c>
      <c r="AF157" s="81">
        <v>0</v>
      </c>
      <c r="AG157" s="81">
        <v>0</v>
      </c>
      <c r="AH157" s="81">
        <v>0</v>
      </c>
      <c r="AI157" s="82">
        <v>0</v>
      </c>
      <c r="AJ157" s="82">
        <v>0</v>
      </c>
      <c r="AK157" s="82">
        <v>0</v>
      </c>
      <c r="AL157" s="82">
        <v>0</v>
      </c>
      <c r="AM157" s="82">
        <v>0</v>
      </c>
      <c r="AN157" s="82">
        <v>0</v>
      </c>
      <c r="AO157" s="82">
        <v>0</v>
      </c>
      <c r="AP157" s="82">
        <v>0</v>
      </c>
      <c r="AQ157" s="82">
        <v>0</v>
      </c>
      <c r="AR157" s="82">
        <v>0</v>
      </c>
      <c r="AS157" s="82">
        <v>0</v>
      </c>
      <c r="AT157" s="82">
        <v>0</v>
      </c>
      <c r="AU157" s="82">
        <v>0</v>
      </c>
      <c r="AV157" s="83">
        <v>0</v>
      </c>
      <c r="AW157" s="80"/>
      <c r="AX157" s="81"/>
      <c r="AY157" s="81"/>
      <c r="AZ157" s="81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3"/>
      <c r="BO157" s="80"/>
      <c r="BP157" s="81"/>
      <c r="BQ157" s="81"/>
      <c r="BR157" s="81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3"/>
      <c r="CG157" s="80"/>
      <c r="CH157" s="81"/>
      <c r="CI157" s="81"/>
      <c r="CJ157" s="81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3"/>
      <c r="CY157" s="80"/>
      <c r="CZ157" s="81"/>
      <c r="DA157" s="81"/>
      <c r="DB157" s="81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3"/>
      <c r="DQ157" s="80"/>
      <c r="DR157" s="81"/>
      <c r="DS157" s="81"/>
      <c r="DT157" s="81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3"/>
      <c r="EI157" s="80"/>
      <c r="EJ157" s="81"/>
      <c r="EK157" s="81"/>
      <c r="EL157" s="81"/>
      <c r="EM157" s="82"/>
      <c r="EN157" s="82"/>
      <c r="EO157" s="82"/>
      <c r="EP157" s="82"/>
      <c r="EQ157" s="82"/>
      <c r="ER157" s="82"/>
      <c r="ES157" s="82"/>
      <c r="ET157" s="82"/>
      <c r="EU157" s="82"/>
      <c r="EV157" s="82"/>
      <c r="EW157" s="82"/>
      <c r="EX157" s="82"/>
      <c r="EY157" s="82"/>
      <c r="EZ157" s="83"/>
    </row>
    <row r="158" spans="1:156">
      <c r="A158" s="11"/>
      <c r="B158" s="84" t="s">
        <v>278</v>
      </c>
      <c r="C158" s="109" t="s">
        <v>279</v>
      </c>
      <c r="D158" s="110"/>
      <c r="E158" s="110"/>
      <c r="F158" s="111"/>
      <c r="G158" s="101">
        <f t="shared" ref="G158:AD158" si="82">SUM(G159:G173)</f>
        <v>48143.37</v>
      </c>
      <c r="H158" s="88">
        <f t="shared" si="82"/>
        <v>11768.035616902804</v>
      </c>
      <c r="I158" s="89">
        <f t="shared" si="82"/>
        <v>0</v>
      </c>
      <c r="J158" s="89">
        <f t="shared" si="82"/>
        <v>5.2686197848287399E-5</v>
      </c>
      <c r="K158" s="89">
        <f t="shared" si="82"/>
        <v>0</v>
      </c>
      <c r="L158" s="90">
        <f t="shared" si="82"/>
        <v>0</v>
      </c>
      <c r="M158" s="90">
        <f t="shared" si="82"/>
        <v>5061.4218647558637</v>
      </c>
      <c r="N158" s="90">
        <f t="shared" si="82"/>
        <v>0</v>
      </c>
      <c r="O158" s="90">
        <f t="shared" si="82"/>
        <v>0</v>
      </c>
      <c r="P158" s="90">
        <f t="shared" si="82"/>
        <v>630.91427568017525</v>
      </c>
      <c r="Q158" s="90">
        <f t="shared" si="82"/>
        <v>326.54386802150617</v>
      </c>
      <c r="R158" s="90">
        <f t="shared" si="82"/>
        <v>0</v>
      </c>
      <c r="S158" s="90">
        <f t="shared" si="82"/>
        <v>23.027593192994686</v>
      </c>
      <c r="T158" s="90">
        <f t="shared" si="82"/>
        <v>0</v>
      </c>
      <c r="U158" s="90">
        <f t="shared" si="82"/>
        <v>0</v>
      </c>
      <c r="V158" s="90">
        <f t="shared" si="82"/>
        <v>0</v>
      </c>
      <c r="W158" s="90">
        <f t="shared" si="82"/>
        <v>0</v>
      </c>
      <c r="X158" s="90">
        <f t="shared" si="82"/>
        <v>0</v>
      </c>
      <c r="Y158" s="90">
        <f t="shared" si="82"/>
        <v>0</v>
      </c>
      <c r="Z158" s="90">
        <f t="shared" si="82"/>
        <v>0</v>
      </c>
      <c r="AA158" s="90">
        <f t="shared" si="82"/>
        <v>0</v>
      </c>
      <c r="AB158" s="90">
        <f t="shared" si="82"/>
        <v>0</v>
      </c>
      <c r="AC158" s="90">
        <f t="shared" si="82"/>
        <v>0</v>
      </c>
      <c r="AD158" s="90">
        <f t="shared" si="82"/>
        <v>30333.42672876046</v>
      </c>
      <c r="AE158" s="88">
        <f t="shared" ref="AE158:CP158" si="83">SUM(AE159:AE173)</f>
        <v>11768.035616902804</v>
      </c>
      <c r="AF158" s="89">
        <f t="shared" si="83"/>
        <v>0</v>
      </c>
      <c r="AG158" s="89">
        <f t="shared" si="83"/>
        <v>5.2686197848287399E-5</v>
      </c>
      <c r="AH158" s="89">
        <f t="shared" si="83"/>
        <v>0</v>
      </c>
      <c r="AI158" s="90">
        <f t="shared" si="83"/>
        <v>0</v>
      </c>
      <c r="AJ158" s="90">
        <f t="shared" si="83"/>
        <v>5061.4218647558637</v>
      </c>
      <c r="AK158" s="90">
        <f t="shared" si="83"/>
        <v>0</v>
      </c>
      <c r="AL158" s="90">
        <f t="shared" si="83"/>
        <v>0</v>
      </c>
      <c r="AM158" s="90">
        <f t="shared" si="83"/>
        <v>630.91427568017525</v>
      </c>
      <c r="AN158" s="90">
        <f t="shared" si="83"/>
        <v>326.54386802150617</v>
      </c>
      <c r="AO158" s="90">
        <f t="shared" si="83"/>
        <v>0</v>
      </c>
      <c r="AP158" s="90">
        <f t="shared" si="83"/>
        <v>23.027593192994686</v>
      </c>
      <c r="AQ158" s="90">
        <f t="shared" si="83"/>
        <v>0</v>
      </c>
      <c r="AR158" s="90">
        <f t="shared" si="83"/>
        <v>0</v>
      </c>
      <c r="AS158" s="90">
        <f t="shared" si="83"/>
        <v>0</v>
      </c>
      <c r="AT158" s="90">
        <f t="shared" si="83"/>
        <v>0</v>
      </c>
      <c r="AU158" s="90">
        <f t="shared" si="83"/>
        <v>0</v>
      </c>
      <c r="AV158" s="91">
        <f t="shared" si="83"/>
        <v>0</v>
      </c>
      <c r="AW158" s="88">
        <f t="shared" si="83"/>
        <v>0</v>
      </c>
      <c r="AX158" s="89">
        <f t="shared" si="83"/>
        <v>0</v>
      </c>
      <c r="AY158" s="89">
        <f t="shared" si="83"/>
        <v>0</v>
      </c>
      <c r="AZ158" s="89">
        <f t="shared" si="83"/>
        <v>0</v>
      </c>
      <c r="BA158" s="90">
        <f t="shared" si="83"/>
        <v>0</v>
      </c>
      <c r="BB158" s="90">
        <f t="shared" si="83"/>
        <v>0</v>
      </c>
      <c r="BC158" s="90">
        <f t="shared" si="83"/>
        <v>0</v>
      </c>
      <c r="BD158" s="90">
        <f t="shared" si="83"/>
        <v>0</v>
      </c>
      <c r="BE158" s="90">
        <f t="shared" si="83"/>
        <v>0</v>
      </c>
      <c r="BF158" s="90">
        <f t="shared" si="83"/>
        <v>0</v>
      </c>
      <c r="BG158" s="90">
        <f t="shared" si="83"/>
        <v>0</v>
      </c>
      <c r="BH158" s="90">
        <f t="shared" si="83"/>
        <v>0</v>
      </c>
      <c r="BI158" s="90">
        <f t="shared" si="83"/>
        <v>0</v>
      </c>
      <c r="BJ158" s="90">
        <f t="shared" si="83"/>
        <v>0</v>
      </c>
      <c r="BK158" s="90">
        <f t="shared" si="83"/>
        <v>0</v>
      </c>
      <c r="BL158" s="90">
        <f t="shared" si="83"/>
        <v>0</v>
      </c>
      <c r="BM158" s="90">
        <f t="shared" si="83"/>
        <v>0</v>
      </c>
      <c r="BN158" s="91">
        <f t="shared" si="83"/>
        <v>0</v>
      </c>
      <c r="BO158" s="88">
        <f t="shared" si="83"/>
        <v>0</v>
      </c>
      <c r="BP158" s="89">
        <f t="shared" si="83"/>
        <v>0</v>
      </c>
      <c r="BQ158" s="89">
        <f t="shared" si="83"/>
        <v>0</v>
      </c>
      <c r="BR158" s="89">
        <f t="shared" si="83"/>
        <v>0</v>
      </c>
      <c r="BS158" s="90">
        <f t="shared" si="83"/>
        <v>0</v>
      </c>
      <c r="BT158" s="90">
        <f t="shared" si="83"/>
        <v>0</v>
      </c>
      <c r="BU158" s="90">
        <f t="shared" si="83"/>
        <v>0</v>
      </c>
      <c r="BV158" s="90">
        <f t="shared" si="83"/>
        <v>0</v>
      </c>
      <c r="BW158" s="90">
        <f t="shared" si="83"/>
        <v>0</v>
      </c>
      <c r="BX158" s="90">
        <f t="shared" si="83"/>
        <v>0</v>
      </c>
      <c r="BY158" s="90">
        <f t="shared" si="83"/>
        <v>0</v>
      </c>
      <c r="BZ158" s="90">
        <f t="shared" si="83"/>
        <v>0</v>
      </c>
      <c r="CA158" s="90">
        <f t="shared" si="83"/>
        <v>0</v>
      </c>
      <c r="CB158" s="90">
        <f t="shared" si="83"/>
        <v>0</v>
      </c>
      <c r="CC158" s="90">
        <f t="shared" si="83"/>
        <v>0</v>
      </c>
      <c r="CD158" s="90">
        <f t="shared" si="83"/>
        <v>0</v>
      </c>
      <c r="CE158" s="90">
        <f t="shared" si="83"/>
        <v>0</v>
      </c>
      <c r="CF158" s="91">
        <f t="shared" si="83"/>
        <v>0</v>
      </c>
      <c r="CG158" s="88">
        <f t="shared" si="83"/>
        <v>0</v>
      </c>
      <c r="CH158" s="89">
        <f t="shared" si="83"/>
        <v>0</v>
      </c>
      <c r="CI158" s="89">
        <f t="shared" si="83"/>
        <v>0</v>
      </c>
      <c r="CJ158" s="89">
        <f t="shared" si="83"/>
        <v>0</v>
      </c>
      <c r="CK158" s="90">
        <f t="shared" si="83"/>
        <v>0</v>
      </c>
      <c r="CL158" s="90">
        <f t="shared" si="83"/>
        <v>0</v>
      </c>
      <c r="CM158" s="90">
        <f t="shared" si="83"/>
        <v>0</v>
      </c>
      <c r="CN158" s="90">
        <f t="shared" si="83"/>
        <v>0</v>
      </c>
      <c r="CO158" s="90">
        <f t="shared" si="83"/>
        <v>0</v>
      </c>
      <c r="CP158" s="90">
        <f t="shared" si="83"/>
        <v>0</v>
      </c>
      <c r="CQ158" s="90">
        <f t="shared" ref="CQ158:EZ158" si="84">SUM(CQ159:CQ173)</f>
        <v>0</v>
      </c>
      <c r="CR158" s="90">
        <f t="shared" si="84"/>
        <v>0</v>
      </c>
      <c r="CS158" s="90">
        <f t="shared" si="84"/>
        <v>0</v>
      </c>
      <c r="CT158" s="90">
        <f t="shared" si="84"/>
        <v>0</v>
      </c>
      <c r="CU158" s="90">
        <f t="shared" si="84"/>
        <v>0</v>
      </c>
      <c r="CV158" s="90">
        <f t="shared" si="84"/>
        <v>0</v>
      </c>
      <c r="CW158" s="90">
        <f t="shared" si="84"/>
        <v>0</v>
      </c>
      <c r="CX158" s="91">
        <f t="shared" si="84"/>
        <v>0</v>
      </c>
      <c r="CY158" s="88">
        <f t="shared" si="84"/>
        <v>0</v>
      </c>
      <c r="CZ158" s="89">
        <f t="shared" si="84"/>
        <v>0</v>
      </c>
      <c r="DA158" s="89">
        <f t="shared" si="84"/>
        <v>0</v>
      </c>
      <c r="DB158" s="89">
        <f t="shared" si="84"/>
        <v>0</v>
      </c>
      <c r="DC158" s="90">
        <f t="shared" si="84"/>
        <v>0</v>
      </c>
      <c r="DD158" s="90">
        <f t="shared" si="84"/>
        <v>0</v>
      </c>
      <c r="DE158" s="90">
        <f t="shared" si="84"/>
        <v>0</v>
      </c>
      <c r="DF158" s="90">
        <f t="shared" si="84"/>
        <v>0</v>
      </c>
      <c r="DG158" s="90">
        <f t="shared" si="84"/>
        <v>0</v>
      </c>
      <c r="DH158" s="90">
        <f t="shared" si="84"/>
        <v>0</v>
      </c>
      <c r="DI158" s="90">
        <f t="shared" si="84"/>
        <v>0</v>
      </c>
      <c r="DJ158" s="90">
        <f t="shared" si="84"/>
        <v>0</v>
      </c>
      <c r="DK158" s="90">
        <f t="shared" si="84"/>
        <v>0</v>
      </c>
      <c r="DL158" s="90">
        <f t="shared" si="84"/>
        <v>0</v>
      </c>
      <c r="DM158" s="90">
        <f t="shared" si="84"/>
        <v>0</v>
      </c>
      <c r="DN158" s="90">
        <f t="shared" si="84"/>
        <v>0</v>
      </c>
      <c r="DO158" s="90">
        <f t="shared" si="84"/>
        <v>0</v>
      </c>
      <c r="DP158" s="91">
        <f t="shared" si="84"/>
        <v>0</v>
      </c>
      <c r="DQ158" s="88">
        <f t="shared" si="84"/>
        <v>0</v>
      </c>
      <c r="DR158" s="89">
        <f t="shared" si="84"/>
        <v>0</v>
      </c>
      <c r="DS158" s="89">
        <f t="shared" si="84"/>
        <v>0</v>
      </c>
      <c r="DT158" s="89">
        <f t="shared" si="84"/>
        <v>0</v>
      </c>
      <c r="DU158" s="90">
        <f t="shared" si="84"/>
        <v>0</v>
      </c>
      <c r="DV158" s="90">
        <f t="shared" si="84"/>
        <v>0</v>
      </c>
      <c r="DW158" s="90">
        <f t="shared" si="84"/>
        <v>0</v>
      </c>
      <c r="DX158" s="90">
        <f t="shared" si="84"/>
        <v>0</v>
      </c>
      <c r="DY158" s="90">
        <f t="shared" si="84"/>
        <v>0</v>
      </c>
      <c r="DZ158" s="90">
        <f t="shared" si="84"/>
        <v>0</v>
      </c>
      <c r="EA158" s="90">
        <f t="shared" si="84"/>
        <v>0</v>
      </c>
      <c r="EB158" s="90">
        <f t="shared" si="84"/>
        <v>0</v>
      </c>
      <c r="EC158" s="90">
        <f t="shared" si="84"/>
        <v>0</v>
      </c>
      <c r="ED158" s="90">
        <f t="shared" si="84"/>
        <v>0</v>
      </c>
      <c r="EE158" s="90">
        <f t="shared" si="84"/>
        <v>0</v>
      </c>
      <c r="EF158" s="90">
        <f t="shared" si="84"/>
        <v>0</v>
      </c>
      <c r="EG158" s="90">
        <f t="shared" si="84"/>
        <v>0</v>
      </c>
      <c r="EH158" s="91">
        <f t="shared" si="84"/>
        <v>0</v>
      </c>
      <c r="EI158" s="88">
        <f t="shared" si="84"/>
        <v>0</v>
      </c>
      <c r="EJ158" s="89">
        <f t="shared" si="84"/>
        <v>0</v>
      </c>
      <c r="EK158" s="89">
        <f t="shared" si="84"/>
        <v>0</v>
      </c>
      <c r="EL158" s="89">
        <f t="shared" si="84"/>
        <v>0</v>
      </c>
      <c r="EM158" s="90">
        <f t="shared" si="84"/>
        <v>0</v>
      </c>
      <c r="EN158" s="90">
        <f t="shared" si="84"/>
        <v>0</v>
      </c>
      <c r="EO158" s="90">
        <f t="shared" si="84"/>
        <v>0</v>
      </c>
      <c r="EP158" s="90">
        <f t="shared" si="84"/>
        <v>0</v>
      </c>
      <c r="EQ158" s="90">
        <f t="shared" si="84"/>
        <v>0</v>
      </c>
      <c r="ER158" s="90">
        <f t="shared" si="84"/>
        <v>0</v>
      </c>
      <c r="ES158" s="90">
        <f t="shared" si="84"/>
        <v>0</v>
      </c>
      <c r="ET158" s="90">
        <f t="shared" si="84"/>
        <v>0</v>
      </c>
      <c r="EU158" s="90">
        <f t="shared" si="84"/>
        <v>0</v>
      </c>
      <c r="EV158" s="90">
        <f t="shared" si="84"/>
        <v>0</v>
      </c>
      <c r="EW158" s="90">
        <f t="shared" si="84"/>
        <v>0</v>
      </c>
      <c r="EX158" s="90">
        <f t="shared" si="84"/>
        <v>0</v>
      </c>
      <c r="EY158" s="90">
        <f t="shared" si="84"/>
        <v>0</v>
      </c>
      <c r="EZ158" s="91">
        <f t="shared" si="84"/>
        <v>0</v>
      </c>
    </row>
    <row r="159" spans="1:156">
      <c r="A159" s="11"/>
      <c r="B159" s="103" t="s">
        <v>280</v>
      </c>
      <c r="C159" s="108" t="s">
        <v>281</v>
      </c>
      <c r="D159" s="104"/>
      <c r="E159" s="104"/>
      <c r="F159" s="116"/>
      <c r="G159" s="75">
        <f t="shared" ref="G159:G173" si="85">SUM(H159:AD159)</f>
        <v>13947.220000000001</v>
      </c>
      <c r="H159" s="76">
        <f t="shared" ref="H159:W173" si="86">SUM(AE159,AW159,BO159,CG159,CY159,DQ159,EI159)</f>
        <v>8439.8377617355654</v>
      </c>
      <c r="I159" s="77">
        <f t="shared" si="86"/>
        <v>0</v>
      </c>
      <c r="J159" s="77">
        <f t="shared" si="86"/>
        <v>3.7785657402630866E-5</v>
      </c>
      <c r="K159" s="77">
        <f t="shared" si="86"/>
        <v>0</v>
      </c>
      <c r="L159" s="78">
        <f t="shared" si="86"/>
        <v>0</v>
      </c>
      <c r="M159" s="78">
        <f t="shared" si="86"/>
        <v>3629.9668672725606</v>
      </c>
      <c r="N159" s="78">
        <f t="shared" si="86"/>
        <v>0</v>
      </c>
      <c r="O159" s="78">
        <f t="shared" si="86"/>
        <v>0</v>
      </c>
      <c r="P159" s="78">
        <f t="shared" si="86"/>
        <v>452.48113632961696</v>
      </c>
      <c r="Q159" s="78">
        <f t="shared" si="86"/>
        <v>234.19178509560294</v>
      </c>
      <c r="R159" s="78">
        <f t="shared" si="86"/>
        <v>0</v>
      </c>
      <c r="S159" s="78">
        <f t="shared" si="86"/>
        <v>16.515003601193349</v>
      </c>
      <c r="T159" s="78">
        <f t="shared" si="86"/>
        <v>0</v>
      </c>
      <c r="U159" s="78">
        <f t="shared" si="86"/>
        <v>0</v>
      </c>
      <c r="V159" s="78">
        <f t="shared" si="86"/>
        <v>0</v>
      </c>
      <c r="W159" s="78">
        <f t="shared" si="86"/>
        <v>0</v>
      </c>
      <c r="X159" s="78">
        <f t="shared" ref="X159:Y173" si="87">SUM(AU159,BM159,CE159,CW159,DO159,EG159,EY159)</f>
        <v>0</v>
      </c>
      <c r="Y159" s="78">
        <f t="shared" si="87"/>
        <v>0</v>
      </c>
      <c r="Z159" s="79">
        <f>SIS064_F_Turtodraudimos1Elektrosenergi5</f>
        <v>0</v>
      </c>
      <c r="AA159" s="79">
        <f>SUM(SIS062_F_Turtodraudimos1Geriamojovande1,SIS063_F_Turtodraudimos1Geriamojovande1,SIS065_F_Turtodraudimos1Geriamojovande1)</f>
        <v>0</v>
      </c>
      <c r="AB159" s="79">
        <f>SUM(SIS062_F_Turtodraudimos1Paslaugaproduk8,SIS063_F_Turtodraudimos1Paslaugaproduk8,SIS065_F_Turtodraudimos1Paslaugaproduk8)</f>
        <v>0</v>
      </c>
      <c r="AC159" s="79">
        <f>SIS064_F_Turtodraudimos1Elektrosenergi6</f>
        <v>0</v>
      </c>
      <c r="AD159" s="79">
        <f>SUM(SIS062_F_Turtodraudimos1Paslaugaproduk9,SIS063_F_Turtodraudimos1Paslaugaproduk9,SIS065_F_Turtodraudimos1Paslaugaproduk9)</f>
        <v>1174.2274081798039</v>
      </c>
      <c r="AE159" s="80">
        <v>8439.8377617355654</v>
      </c>
      <c r="AF159" s="81">
        <v>0</v>
      </c>
      <c r="AG159" s="81">
        <v>3.7785657402630866E-5</v>
      </c>
      <c r="AH159" s="81">
        <v>0</v>
      </c>
      <c r="AI159" s="82">
        <v>0</v>
      </c>
      <c r="AJ159" s="82">
        <v>3629.9668672725606</v>
      </c>
      <c r="AK159" s="82">
        <v>0</v>
      </c>
      <c r="AL159" s="82">
        <v>0</v>
      </c>
      <c r="AM159" s="82">
        <v>452.48113632961696</v>
      </c>
      <c r="AN159" s="82">
        <v>234.19178509560294</v>
      </c>
      <c r="AO159" s="82">
        <v>0</v>
      </c>
      <c r="AP159" s="82">
        <v>16.515003601193349</v>
      </c>
      <c r="AQ159" s="82">
        <v>0</v>
      </c>
      <c r="AR159" s="82">
        <v>0</v>
      </c>
      <c r="AS159" s="82">
        <v>0</v>
      </c>
      <c r="AT159" s="82">
        <v>0</v>
      </c>
      <c r="AU159" s="82">
        <v>0</v>
      </c>
      <c r="AV159" s="83">
        <v>0</v>
      </c>
      <c r="AW159" s="80"/>
      <c r="AX159" s="81"/>
      <c r="AY159" s="81"/>
      <c r="AZ159" s="81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3"/>
      <c r="BO159" s="80"/>
      <c r="BP159" s="81"/>
      <c r="BQ159" s="81"/>
      <c r="BR159" s="81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3"/>
      <c r="CG159" s="80"/>
      <c r="CH159" s="81"/>
      <c r="CI159" s="81"/>
      <c r="CJ159" s="81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3"/>
      <c r="CY159" s="80"/>
      <c r="CZ159" s="81"/>
      <c r="DA159" s="81"/>
      <c r="DB159" s="81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3"/>
      <c r="DQ159" s="80"/>
      <c r="DR159" s="81"/>
      <c r="DS159" s="81"/>
      <c r="DT159" s="81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3"/>
      <c r="EI159" s="80"/>
      <c r="EJ159" s="81"/>
      <c r="EK159" s="81"/>
      <c r="EL159" s="81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3"/>
    </row>
    <row r="160" spans="1:156">
      <c r="A160" s="11"/>
      <c r="B160" s="103" t="s">
        <v>282</v>
      </c>
      <c r="C160" s="108" t="s">
        <v>283</v>
      </c>
      <c r="D160" s="104"/>
      <c r="E160" s="104"/>
      <c r="F160" s="116"/>
      <c r="G160" s="75">
        <f t="shared" si="85"/>
        <v>0</v>
      </c>
      <c r="H160" s="76">
        <f t="shared" si="86"/>
        <v>0</v>
      </c>
      <c r="I160" s="77">
        <f t="shared" si="86"/>
        <v>0</v>
      </c>
      <c r="J160" s="77">
        <f t="shared" si="86"/>
        <v>0</v>
      </c>
      <c r="K160" s="77">
        <f t="shared" si="86"/>
        <v>0</v>
      </c>
      <c r="L160" s="78">
        <f t="shared" si="86"/>
        <v>0</v>
      </c>
      <c r="M160" s="78">
        <f t="shared" si="86"/>
        <v>0</v>
      </c>
      <c r="N160" s="78">
        <f t="shared" si="86"/>
        <v>0</v>
      </c>
      <c r="O160" s="78">
        <f t="shared" si="86"/>
        <v>0</v>
      </c>
      <c r="P160" s="78">
        <f t="shared" si="86"/>
        <v>0</v>
      </c>
      <c r="Q160" s="78">
        <f t="shared" si="86"/>
        <v>0</v>
      </c>
      <c r="R160" s="78">
        <f t="shared" si="86"/>
        <v>0</v>
      </c>
      <c r="S160" s="78">
        <f t="shared" si="86"/>
        <v>0</v>
      </c>
      <c r="T160" s="78">
        <f t="shared" si="86"/>
        <v>0</v>
      </c>
      <c r="U160" s="78">
        <f t="shared" si="86"/>
        <v>0</v>
      </c>
      <c r="V160" s="78">
        <f t="shared" si="86"/>
        <v>0</v>
      </c>
      <c r="W160" s="78">
        <f t="shared" si="86"/>
        <v>0</v>
      </c>
      <c r="X160" s="78">
        <f t="shared" si="87"/>
        <v>0</v>
      </c>
      <c r="Y160" s="78">
        <f t="shared" si="87"/>
        <v>0</v>
      </c>
      <c r="Z160" s="79">
        <f>SIS064_F_Veiklosrizikos1Elektrosenergi5</f>
        <v>0</v>
      </c>
      <c r="AA160" s="79">
        <f>SUM(SIS062_F_Veiklosrizikos1Geriamojovande1,SIS063_F_Veiklosrizikos1Geriamojovande1,SIS065_F_Veiklosrizikos1Geriamojovande1)</f>
        <v>0</v>
      </c>
      <c r="AB160" s="79">
        <f>SUM(SIS062_F_Veiklosrizikos1Paslaugaproduk8,SIS063_F_Veiklosrizikos1Paslaugaproduk8,SIS065_F_Veiklosrizikos1Paslaugaproduk8)</f>
        <v>0</v>
      </c>
      <c r="AC160" s="79">
        <f>SIS064_F_Veiklosrizikos1Elektrosenergi6</f>
        <v>0</v>
      </c>
      <c r="AD160" s="79">
        <f>SUM(SIS062_F_Veiklosrizikos1Paslaugaproduk9,SIS063_F_Veiklosrizikos1Paslaugaproduk9,SIS065_F_Veiklosrizikos1Paslaugaproduk9)</f>
        <v>0</v>
      </c>
      <c r="AE160" s="80">
        <v>0</v>
      </c>
      <c r="AF160" s="81">
        <v>0</v>
      </c>
      <c r="AG160" s="81">
        <v>0</v>
      </c>
      <c r="AH160" s="81">
        <v>0</v>
      </c>
      <c r="AI160" s="82">
        <v>0</v>
      </c>
      <c r="AJ160" s="82">
        <v>0</v>
      </c>
      <c r="AK160" s="82">
        <v>0</v>
      </c>
      <c r="AL160" s="82">
        <v>0</v>
      </c>
      <c r="AM160" s="82">
        <v>0</v>
      </c>
      <c r="AN160" s="82">
        <v>0</v>
      </c>
      <c r="AO160" s="82">
        <v>0</v>
      </c>
      <c r="AP160" s="82">
        <v>0</v>
      </c>
      <c r="AQ160" s="82">
        <v>0</v>
      </c>
      <c r="AR160" s="82">
        <v>0</v>
      </c>
      <c r="AS160" s="82">
        <v>0</v>
      </c>
      <c r="AT160" s="82">
        <v>0</v>
      </c>
      <c r="AU160" s="82">
        <v>0</v>
      </c>
      <c r="AV160" s="83">
        <v>0</v>
      </c>
      <c r="AW160" s="80"/>
      <c r="AX160" s="81"/>
      <c r="AY160" s="81"/>
      <c r="AZ160" s="81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3"/>
      <c r="BO160" s="80"/>
      <c r="BP160" s="81"/>
      <c r="BQ160" s="81"/>
      <c r="BR160" s="81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3"/>
      <c r="CG160" s="80"/>
      <c r="CH160" s="81"/>
      <c r="CI160" s="81"/>
      <c r="CJ160" s="81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3"/>
      <c r="CY160" s="80"/>
      <c r="CZ160" s="81"/>
      <c r="DA160" s="81"/>
      <c r="DB160" s="81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3"/>
      <c r="DQ160" s="80"/>
      <c r="DR160" s="81"/>
      <c r="DS160" s="81"/>
      <c r="DT160" s="81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3"/>
      <c r="EI160" s="80"/>
      <c r="EJ160" s="81"/>
      <c r="EK160" s="81"/>
      <c r="EL160" s="81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3"/>
    </row>
    <row r="161" spans="1:156">
      <c r="A161" s="11"/>
      <c r="B161" s="103" t="s">
        <v>284</v>
      </c>
      <c r="C161" s="108" t="s">
        <v>285</v>
      </c>
      <c r="D161" s="104"/>
      <c r="E161" s="104"/>
      <c r="F161" s="116"/>
      <c r="G161" s="75">
        <f t="shared" si="85"/>
        <v>3500</v>
      </c>
      <c r="H161" s="76">
        <f t="shared" si="86"/>
        <v>2117.944089651879</v>
      </c>
      <c r="I161" s="77">
        <f t="shared" si="86"/>
        <v>0</v>
      </c>
      <c r="J161" s="77">
        <f t="shared" si="86"/>
        <v>9.482162101781432E-6</v>
      </c>
      <c r="K161" s="77">
        <f t="shared" si="86"/>
        <v>0</v>
      </c>
      <c r="L161" s="78">
        <f t="shared" si="86"/>
        <v>0</v>
      </c>
      <c r="M161" s="78">
        <f t="shared" si="86"/>
        <v>910.92590748937505</v>
      </c>
      <c r="N161" s="78">
        <f t="shared" si="86"/>
        <v>0</v>
      </c>
      <c r="O161" s="78">
        <f t="shared" si="86"/>
        <v>0</v>
      </c>
      <c r="P161" s="78">
        <f t="shared" si="86"/>
        <v>113.54836140490072</v>
      </c>
      <c r="Q161" s="78">
        <f t="shared" si="86"/>
        <v>58.769507316483875</v>
      </c>
      <c r="R161" s="78">
        <f t="shared" si="86"/>
        <v>0</v>
      </c>
      <c r="S161" s="78">
        <f t="shared" si="86"/>
        <v>4.1443751947826675</v>
      </c>
      <c r="T161" s="78">
        <f t="shared" si="86"/>
        <v>0</v>
      </c>
      <c r="U161" s="78">
        <f t="shared" si="86"/>
        <v>0</v>
      </c>
      <c r="V161" s="78">
        <f t="shared" si="86"/>
        <v>0</v>
      </c>
      <c r="W161" s="78">
        <f t="shared" si="86"/>
        <v>0</v>
      </c>
      <c r="X161" s="78">
        <f t="shared" si="87"/>
        <v>0</v>
      </c>
      <c r="Y161" s="78">
        <f t="shared" si="87"/>
        <v>0</v>
      </c>
      <c r="Z161" s="79">
        <f>SIS064_F_Auditofinansin1Elektrosenergi5</f>
        <v>0</v>
      </c>
      <c r="AA161" s="79">
        <f>SUM(SIS062_F_Auditofinansin1Geriamojovande1,SIS063_F_Auditofinansin1Geriamojovande1,SIS065_F_Auditofinansin1Geriamojovande1)</f>
        <v>0</v>
      </c>
      <c r="AB161" s="79">
        <f>SUM(SIS062_F_Auditofinansin1Paslaugaproduk8,SIS063_F_Auditofinansin1Paslaugaproduk8,SIS065_F_Auditofinansin1Paslaugaproduk8)</f>
        <v>0</v>
      </c>
      <c r="AC161" s="79">
        <f>SIS064_F_Auditofinansin1Elektrosenergi6</f>
        <v>0</v>
      </c>
      <c r="AD161" s="79">
        <f>SUM(SIS062_F_Auditofinansin1Paslaugaproduk9,SIS063_F_Auditofinansin1Paslaugaproduk9,SIS065_F_Auditofinansin1Paslaugaproduk9)</f>
        <v>294.66774946041676</v>
      </c>
      <c r="AE161" s="80">
        <v>2117.944089651879</v>
      </c>
      <c r="AF161" s="81">
        <v>0</v>
      </c>
      <c r="AG161" s="81">
        <v>9.482162101781432E-6</v>
      </c>
      <c r="AH161" s="81">
        <v>0</v>
      </c>
      <c r="AI161" s="82">
        <v>0</v>
      </c>
      <c r="AJ161" s="82">
        <v>910.92590748937505</v>
      </c>
      <c r="AK161" s="82">
        <v>0</v>
      </c>
      <c r="AL161" s="82">
        <v>0</v>
      </c>
      <c r="AM161" s="82">
        <v>113.54836140490072</v>
      </c>
      <c r="AN161" s="82">
        <v>58.769507316483875</v>
      </c>
      <c r="AO161" s="82">
        <v>0</v>
      </c>
      <c r="AP161" s="82">
        <v>4.1443751947826675</v>
      </c>
      <c r="AQ161" s="82">
        <v>0</v>
      </c>
      <c r="AR161" s="82">
        <v>0</v>
      </c>
      <c r="AS161" s="82">
        <v>0</v>
      </c>
      <c r="AT161" s="82">
        <v>0</v>
      </c>
      <c r="AU161" s="82">
        <v>0</v>
      </c>
      <c r="AV161" s="83">
        <v>0</v>
      </c>
      <c r="AW161" s="80"/>
      <c r="AX161" s="81"/>
      <c r="AY161" s="81"/>
      <c r="AZ161" s="81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3"/>
      <c r="BO161" s="80"/>
      <c r="BP161" s="81"/>
      <c r="BQ161" s="81"/>
      <c r="BR161" s="81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3"/>
      <c r="CG161" s="80"/>
      <c r="CH161" s="81"/>
      <c r="CI161" s="81"/>
      <c r="CJ161" s="81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3"/>
      <c r="CY161" s="80"/>
      <c r="CZ161" s="81"/>
      <c r="DA161" s="81"/>
      <c r="DB161" s="81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3"/>
      <c r="DQ161" s="80"/>
      <c r="DR161" s="81"/>
      <c r="DS161" s="81"/>
      <c r="DT161" s="81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3"/>
      <c r="EI161" s="80"/>
      <c r="EJ161" s="81"/>
      <c r="EK161" s="81"/>
      <c r="EL161" s="81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3"/>
    </row>
    <row r="162" spans="1:156">
      <c r="A162" s="11"/>
      <c r="B162" s="103" t="s">
        <v>286</v>
      </c>
      <c r="C162" s="108" t="s">
        <v>287</v>
      </c>
      <c r="D162" s="104"/>
      <c r="E162" s="104"/>
      <c r="F162" s="116"/>
      <c r="G162" s="75">
        <f t="shared" si="85"/>
        <v>1999.9999999999998</v>
      </c>
      <c r="H162" s="76">
        <f t="shared" si="86"/>
        <v>1210.2537655153594</v>
      </c>
      <c r="I162" s="77">
        <f t="shared" si="86"/>
        <v>0</v>
      </c>
      <c r="J162" s="77">
        <f t="shared" si="86"/>
        <v>5.418378343875104E-6</v>
      </c>
      <c r="K162" s="77">
        <f t="shared" si="86"/>
        <v>0</v>
      </c>
      <c r="L162" s="78">
        <f t="shared" si="86"/>
        <v>0</v>
      </c>
      <c r="M162" s="78">
        <f t="shared" si="86"/>
        <v>520.52908999392855</v>
      </c>
      <c r="N162" s="78">
        <f t="shared" si="86"/>
        <v>0</v>
      </c>
      <c r="O162" s="78">
        <f t="shared" si="86"/>
        <v>0</v>
      </c>
      <c r="P162" s="78">
        <f t="shared" si="86"/>
        <v>64.884777945657547</v>
      </c>
      <c r="Q162" s="78">
        <f t="shared" si="86"/>
        <v>33.582575609419358</v>
      </c>
      <c r="R162" s="78">
        <f t="shared" si="86"/>
        <v>0</v>
      </c>
      <c r="S162" s="78">
        <f t="shared" si="86"/>
        <v>2.3682143970186673</v>
      </c>
      <c r="T162" s="78">
        <f t="shared" si="86"/>
        <v>0</v>
      </c>
      <c r="U162" s="78">
        <f t="shared" si="86"/>
        <v>0</v>
      </c>
      <c r="V162" s="78">
        <f t="shared" si="86"/>
        <v>0</v>
      </c>
      <c r="W162" s="78">
        <f t="shared" si="86"/>
        <v>0</v>
      </c>
      <c r="X162" s="78">
        <f t="shared" si="87"/>
        <v>0</v>
      </c>
      <c r="Y162" s="78">
        <f t="shared" si="87"/>
        <v>0</v>
      </c>
      <c r="Z162" s="79">
        <f>SIS064_F_Auditoreguliuo1Elektrosenergi5</f>
        <v>0</v>
      </c>
      <c r="AA162" s="79">
        <f>SUM(SIS062_F_Auditoreguliuo1Geriamojovande1,SIS063_F_Auditoreguliuo1Geriamojovande1,SIS065_F_Auditoreguliuo1Geriamojovande1)</f>
        <v>0</v>
      </c>
      <c r="AB162" s="79">
        <f>SUM(SIS062_F_Auditoreguliuo1Paslaugaproduk8,SIS063_F_Auditoreguliuo1Paslaugaproduk8,SIS065_F_Auditoreguliuo1Paslaugaproduk8)</f>
        <v>0</v>
      </c>
      <c r="AC162" s="79">
        <f>SIS064_F_Auditoreguliuo1Elektrosenergi6</f>
        <v>0</v>
      </c>
      <c r="AD162" s="79">
        <f>SUM(SIS062_F_Auditoreguliuo1Paslaugaproduk9,SIS063_F_Auditoreguliuo1Paslaugaproduk9,SIS065_F_Auditoreguliuo1Paslaugaproduk9)</f>
        <v>168.38157112023814</v>
      </c>
      <c r="AE162" s="80">
        <v>1210.2537655153594</v>
      </c>
      <c r="AF162" s="81">
        <v>0</v>
      </c>
      <c r="AG162" s="81">
        <v>5.418378343875104E-6</v>
      </c>
      <c r="AH162" s="81">
        <v>0</v>
      </c>
      <c r="AI162" s="82">
        <v>0</v>
      </c>
      <c r="AJ162" s="82">
        <v>520.52908999392855</v>
      </c>
      <c r="AK162" s="82">
        <v>0</v>
      </c>
      <c r="AL162" s="82">
        <v>0</v>
      </c>
      <c r="AM162" s="82">
        <v>64.884777945657547</v>
      </c>
      <c r="AN162" s="82">
        <v>33.582575609419358</v>
      </c>
      <c r="AO162" s="82">
        <v>0</v>
      </c>
      <c r="AP162" s="82">
        <v>2.3682143970186673</v>
      </c>
      <c r="AQ162" s="82">
        <v>0</v>
      </c>
      <c r="AR162" s="82">
        <v>0</v>
      </c>
      <c r="AS162" s="82">
        <v>0</v>
      </c>
      <c r="AT162" s="82">
        <v>0</v>
      </c>
      <c r="AU162" s="82">
        <v>0</v>
      </c>
      <c r="AV162" s="83">
        <v>0</v>
      </c>
      <c r="AW162" s="80"/>
      <c r="AX162" s="81"/>
      <c r="AY162" s="81"/>
      <c r="AZ162" s="81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3"/>
      <c r="BO162" s="80"/>
      <c r="BP162" s="81"/>
      <c r="BQ162" s="81"/>
      <c r="BR162" s="81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3"/>
      <c r="CG162" s="80"/>
      <c r="CH162" s="81"/>
      <c r="CI162" s="81"/>
      <c r="CJ162" s="81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3"/>
      <c r="CY162" s="80"/>
      <c r="CZ162" s="81"/>
      <c r="DA162" s="81"/>
      <c r="DB162" s="81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3"/>
      <c r="DQ162" s="80"/>
      <c r="DR162" s="81"/>
      <c r="DS162" s="81"/>
      <c r="DT162" s="81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3"/>
      <c r="EI162" s="80"/>
      <c r="EJ162" s="81"/>
      <c r="EK162" s="81"/>
      <c r="EL162" s="81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3"/>
    </row>
    <row r="163" spans="1:156">
      <c r="A163" s="11"/>
      <c r="B163" s="103" t="s">
        <v>288</v>
      </c>
      <c r="C163" s="108" t="s">
        <v>289</v>
      </c>
      <c r="D163" s="104"/>
      <c r="E163" s="104"/>
      <c r="F163" s="116"/>
      <c r="G163" s="75">
        <f t="shared" si="85"/>
        <v>0</v>
      </c>
      <c r="H163" s="76">
        <f t="shared" si="86"/>
        <v>0</v>
      </c>
      <c r="I163" s="77">
        <f t="shared" si="86"/>
        <v>0</v>
      </c>
      <c r="J163" s="77">
        <f t="shared" si="86"/>
        <v>0</v>
      </c>
      <c r="K163" s="77">
        <f t="shared" si="86"/>
        <v>0</v>
      </c>
      <c r="L163" s="78">
        <f t="shared" si="86"/>
        <v>0</v>
      </c>
      <c r="M163" s="78">
        <f t="shared" si="86"/>
        <v>0</v>
      </c>
      <c r="N163" s="78">
        <f t="shared" si="86"/>
        <v>0</v>
      </c>
      <c r="O163" s="78">
        <f t="shared" si="86"/>
        <v>0</v>
      </c>
      <c r="P163" s="78">
        <f t="shared" si="86"/>
        <v>0</v>
      </c>
      <c r="Q163" s="78">
        <f t="shared" si="86"/>
        <v>0</v>
      </c>
      <c r="R163" s="78">
        <f t="shared" si="86"/>
        <v>0</v>
      </c>
      <c r="S163" s="78">
        <f t="shared" si="86"/>
        <v>0</v>
      </c>
      <c r="T163" s="78">
        <f t="shared" si="86"/>
        <v>0</v>
      </c>
      <c r="U163" s="78">
        <f t="shared" si="86"/>
        <v>0</v>
      </c>
      <c r="V163" s="78">
        <f t="shared" si="86"/>
        <v>0</v>
      </c>
      <c r="W163" s="78">
        <f t="shared" si="86"/>
        <v>0</v>
      </c>
      <c r="X163" s="78">
        <f t="shared" si="87"/>
        <v>0</v>
      </c>
      <c r="Y163" s="78">
        <f t="shared" si="87"/>
        <v>0</v>
      </c>
      <c r="Z163" s="79">
        <f>SIS064_F_Auditokitosana1Elektrosenergi5</f>
        <v>0</v>
      </c>
      <c r="AA163" s="79">
        <f>SUM(SIS062_F_Auditokitosana1Geriamojovande1,SIS063_F_Auditokitosana1Geriamojovande1,SIS065_F_Auditokitosana1Geriamojovande1)</f>
        <v>0</v>
      </c>
      <c r="AB163" s="79">
        <f>SUM(SIS062_F_Auditokitosana1Paslaugaproduk8,SIS063_F_Auditokitosana1Paslaugaproduk8,SIS065_F_Auditokitosana1Paslaugaproduk8)</f>
        <v>0</v>
      </c>
      <c r="AC163" s="79">
        <f>SIS064_F_Auditokitosana1Elektrosenergi6</f>
        <v>0</v>
      </c>
      <c r="AD163" s="79">
        <f>SUM(SIS062_F_Auditokitosana1Paslaugaproduk9,SIS063_F_Auditokitosana1Paslaugaproduk9,SIS065_F_Auditokitosana1Paslaugaproduk9)</f>
        <v>0</v>
      </c>
      <c r="AE163" s="80">
        <v>0</v>
      </c>
      <c r="AF163" s="81">
        <v>0</v>
      </c>
      <c r="AG163" s="81">
        <v>0</v>
      </c>
      <c r="AH163" s="81">
        <v>0</v>
      </c>
      <c r="AI163" s="82">
        <v>0</v>
      </c>
      <c r="AJ163" s="82">
        <v>0</v>
      </c>
      <c r="AK163" s="82">
        <v>0</v>
      </c>
      <c r="AL163" s="82">
        <v>0</v>
      </c>
      <c r="AM163" s="82">
        <v>0</v>
      </c>
      <c r="AN163" s="82">
        <v>0</v>
      </c>
      <c r="AO163" s="82">
        <v>0</v>
      </c>
      <c r="AP163" s="82">
        <v>0</v>
      </c>
      <c r="AQ163" s="82">
        <v>0</v>
      </c>
      <c r="AR163" s="82">
        <v>0</v>
      </c>
      <c r="AS163" s="82">
        <v>0</v>
      </c>
      <c r="AT163" s="82">
        <v>0</v>
      </c>
      <c r="AU163" s="82">
        <v>0</v>
      </c>
      <c r="AV163" s="83">
        <v>0</v>
      </c>
      <c r="AW163" s="80"/>
      <c r="AX163" s="81"/>
      <c r="AY163" s="81"/>
      <c r="AZ163" s="81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3"/>
      <c r="BO163" s="80"/>
      <c r="BP163" s="81"/>
      <c r="BQ163" s="81"/>
      <c r="BR163" s="81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3"/>
      <c r="CG163" s="80"/>
      <c r="CH163" s="81"/>
      <c r="CI163" s="81"/>
      <c r="CJ163" s="81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3"/>
      <c r="CY163" s="80"/>
      <c r="CZ163" s="81"/>
      <c r="DA163" s="81"/>
      <c r="DB163" s="81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3"/>
      <c r="DQ163" s="80"/>
      <c r="DR163" s="81"/>
      <c r="DS163" s="81"/>
      <c r="DT163" s="81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3"/>
      <c r="EI163" s="80"/>
      <c r="EJ163" s="81"/>
      <c r="EK163" s="81"/>
      <c r="EL163" s="81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3"/>
    </row>
    <row r="164" spans="1:156">
      <c r="A164" s="11"/>
      <c r="B164" s="103" t="s">
        <v>290</v>
      </c>
      <c r="C164" s="108" t="s">
        <v>291</v>
      </c>
      <c r="D164" s="104"/>
      <c r="E164" s="104"/>
      <c r="F164" s="116"/>
      <c r="G164" s="75">
        <f t="shared" si="85"/>
        <v>0</v>
      </c>
      <c r="H164" s="76">
        <f t="shared" si="86"/>
        <v>0</v>
      </c>
      <c r="I164" s="77">
        <f t="shared" si="86"/>
        <v>0</v>
      </c>
      <c r="J164" s="77">
        <f t="shared" si="86"/>
        <v>0</v>
      </c>
      <c r="K164" s="77">
        <f t="shared" si="86"/>
        <v>0</v>
      </c>
      <c r="L164" s="78">
        <f t="shared" si="86"/>
        <v>0</v>
      </c>
      <c r="M164" s="78">
        <f t="shared" si="86"/>
        <v>0</v>
      </c>
      <c r="N164" s="78">
        <f t="shared" si="86"/>
        <v>0</v>
      </c>
      <c r="O164" s="78">
        <f t="shared" si="86"/>
        <v>0</v>
      </c>
      <c r="P164" s="78">
        <f t="shared" si="86"/>
        <v>0</v>
      </c>
      <c r="Q164" s="78">
        <f t="shared" si="86"/>
        <v>0</v>
      </c>
      <c r="R164" s="78">
        <f t="shared" si="86"/>
        <v>0</v>
      </c>
      <c r="S164" s="78">
        <f t="shared" si="86"/>
        <v>0</v>
      </c>
      <c r="T164" s="78">
        <f t="shared" si="86"/>
        <v>0</v>
      </c>
      <c r="U164" s="78">
        <f t="shared" si="86"/>
        <v>0</v>
      </c>
      <c r="V164" s="78">
        <f t="shared" si="86"/>
        <v>0</v>
      </c>
      <c r="W164" s="78">
        <f t="shared" si="86"/>
        <v>0</v>
      </c>
      <c r="X164" s="78">
        <f t="shared" si="87"/>
        <v>0</v>
      </c>
      <c r="Y164" s="78">
        <f t="shared" si="87"/>
        <v>0</v>
      </c>
      <c r="Z164" s="79">
        <f>SIS064_F_Skoluisieskoji1Elektrosenergi5</f>
        <v>0</v>
      </c>
      <c r="AA164" s="79">
        <f>SUM(SIS062_F_Skoluisieskoji1Geriamojovande1,SIS063_F_Skoluisieskoji1Geriamojovande1,SIS065_F_Skoluisieskoji1Geriamojovande1)</f>
        <v>0</v>
      </c>
      <c r="AB164" s="79">
        <f>SUM(SIS062_F_Skoluisieskoji1Paslaugaproduk8,SIS063_F_Skoluisieskoji1Paslaugaproduk8,SIS065_F_Skoluisieskoji1Paslaugaproduk8)</f>
        <v>0</v>
      </c>
      <c r="AC164" s="79">
        <f>SIS064_F_Skoluisieskoji1Elektrosenergi6</f>
        <v>0</v>
      </c>
      <c r="AD164" s="79">
        <f>SUM(SIS062_F_Skoluisieskoji1Paslaugaproduk9,SIS063_F_Skoluisieskoji1Paslaugaproduk9,SIS065_F_Skoluisieskoji1Paslaugaproduk9)</f>
        <v>0</v>
      </c>
      <c r="AE164" s="80">
        <v>0</v>
      </c>
      <c r="AF164" s="81">
        <v>0</v>
      </c>
      <c r="AG164" s="81">
        <v>0</v>
      </c>
      <c r="AH164" s="81">
        <v>0</v>
      </c>
      <c r="AI164" s="82">
        <v>0</v>
      </c>
      <c r="AJ164" s="82">
        <v>0</v>
      </c>
      <c r="AK164" s="82">
        <v>0</v>
      </c>
      <c r="AL164" s="82">
        <v>0</v>
      </c>
      <c r="AM164" s="82">
        <v>0</v>
      </c>
      <c r="AN164" s="82">
        <v>0</v>
      </c>
      <c r="AO164" s="82">
        <v>0</v>
      </c>
      <c r="AP164" s="82">
        <v>0</v>
      </c>
      <c r="AQ164" s="82">
        <v>0</v>
      </c>
      <c r="AR164" s="82">
        <v>0</v>
      </c>
      <c r="AS164" s="82">
        <v>0</v>
      </c>
      <c r="AT164" s="82">
        <v>0</v>
      </c>
      <c r="AU164" s="82">
        <v>0</v>
      </c>
      <c r="AV164" s="83">
        <v>0</v>
      </c>
      <c r="AW164" s="80"/>
      <c r="AX164" s="81"/>
      <c r="AY164" s="81"/>
      <c r="AZ164" s="81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3"/>
      <c r="BO164" s="80"/>
      <c r="BP164" s="81"/>
      <c r="BQ164" s="81"/>
      <c r="BR164" s="81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3"/>
      <c r="CG164" s="80"/>
      <c r="CH164" s="81"/>
      <c r="CI164" s="81"/>
      <c r="CJ164" s="81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3"/>
      <c r="CY164" s="80"/>
      <c r="CZ164" s="81"/>
      <c r="DA164" s="81"/>
      <c r="DB164" s="81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3"/>
      <c r="DQ164" s="80"/>
      <c r="DR164" s="81"/>
      <c r="DS164" s="81"/>
      <c r="DT164" s="81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3"/>
      <c r="EI164" s="80"/>
      <c r="EJ164" s="81"/>
      <c r="EK164" s="81"/>
      <c r="EL164" s="81"/>
      <c r="EM164" s="82"/>
      <c r="EN164" s="82"/>
      <c r="EO164" s="82"/>
      <c r="EP164" s="82"/>
      <c r="EQ164" s="82"/>
      <c r="ER164" s="82"/>
      <c r="ES164" s="82"/>
      <c r="ET164" s="82"/>
      <c r="EU164" s="82"/>
      <c r="EV164" s="82"/>
      <c r="EW164" s="82"/>
      <c r="EX164" s="82"/>
      <c r="EY164" s="82"/>
      <c r="EZ164" s="83"/>
    </row>
    <row r="165" spans="1:156">
      <c r="A165" s="11"/>
      <c r="B165" s="103" t="s">
        <v>292</v>
      </c>
      <c r="C165" s="108" t="s">
        <v>293</v>
      </c>
      <c r="D165" s="104"/>
      <c r="E165" s="104"/>
      <c r="F165" s="116"/>
      <c r="G165" s="75">
        <f t="shared" si="85"/>
        <v>0</v>
      </c>
      <c r="H165" s="76">
        <f t="shared" si="86"/>
        <v>0</v>
      </c>
      <c r="I165" s="77">
        <f t="shared" si="86"/>
        <v>0</v>
      </c>
      <c r="J165" s="77">
        <f t="shared" si="86"/>
        <v>0</v>
      </c>
      <c r="K165" s="77">
        <f t="shared" si="86"/>
        <v>0</v>
      </c>
      <c r="L165" s="78">
        <f t="shared" si="86"/>
        <v>0</v>
      </c>
      <c r="M165" s="78">
        <f t="shared" si="86"/>
        <v>0</v>
      </c>
      <c r="N165" s="78">
        <f t="shared" si="86"/>
        <v>0</v>
      </c>
      <c r="O165" s="78">
        <f t="shared" si="86"/>
        <v>0</v>
      </c>
      <c r="P165" s="78">
        <f t="shared" si="86"/>
        <v>0</v>
      </c>
      <c r="Q165" s="78">
        <f t="shared" si="86"/>
        <v>0</v>
      </c>
      <c r="R165" s="78">
        <f t="shared" si="86"/>
        <v>0</v>
      </c>
      <c r="S165" s="78">
        <f t="shared" si="86"/>
        <v>0</v>
      </c>
      <c r="T165" s="78">
        <f t="shared" si="86"/>
        <v>0</v>
      </c>
      <c r="U165" s="78">
        <f t="shared" si="86"/>
        <v>0</v>
      </c>
      <c r="V165" s="78">
        <f t="shared" si="86"/>
        <v>0</v>
      </c>
      <c r="W165" s="78">
        <f t="shared" si="86"/>
        <v>0</v>
      </c>
      <c r="X165" s="78">
        <f t="shared" si="87"/>
        <v>0</v>
      </c>
      <c r="Y165" s="78">
        <f t="shared" si="87"/>
        <v>0</v>
      </c>
      <c r="Z165" s="79">
        <f>SIS064_F_Narystesstojam1Elektrosenergi5</f>
        <v>0</v>
      </c>
      <c r="AA165" s="79">
        <f>SUM(SIS062_F_Narystesstojam1Geriamojovande1,SIS063_F_Narystesstojam1Geriamojovande1,SIS065_F_Narystesstojam1Geriamojovande1)</f>
        <v>0</v>
      </c>
      <c r="AB165" s="79">
        <f>SUM(SIS062_F_Narystesstojam1Paslaugaproduk8,SIS063_F_Narystesstojam1Paslaugaproduk8,SIS065_F_Narystesstojam1Paslaugaproduk8)</f>
        <v>0</v>
      </c>
      <c r="AC165" s="79">
        <f>SIS064_F_Narystesstojam1Elektrosenergi6</f>
        <v>0</v>
      </c>
      <c r="AD165" s="79">
        <f>SUM(SIS062_F_Narystesstojam1Paslaugaproduk9,SIS063_F_Narystesstojam1Paslaugaproduk9,SIS065_F_Narystesstojam1Paslaugaproduk9)</f>
        <v>0</v>
      </c>
      <c r="AE165" s="80">
        <v>0</v>
      </c>
      <c r="AF165" s="81">
        <v>0</v>
      </c>
      <c r="AG165" s="81">
        <v>0</v>
      </c>
      <c r="AH165" s="81">
        <v>0</v>
      </c>
      <c r="AI165" s="82">
        <v>0</v>
      </c>
      <c r="AJ165" s="82">
        <v>0</v>
      </c>
      <c r="AK165" s="82">
        <v>0</v>
      </c>
      <c r="AL165" s="82">
        <v>0</v>
      </c>
      <c r="AM165" s="82">
        <v>0</v>
      </c>
      <c r="AN165" s="82">
        <v>0</v>
      </c>
      <c r="AO165" s="82">
        <v>0</v>
      </c>
      <c r="AP165" s="82">
        <v>0</v>
      </c>
      <c r="AQ165" s="82">
        <v>0</v>
      </c>
      <c r="AR165" s="82">
        <v>0</v>
      </c>
      <c r="AS165" s="82">
        <v>0</v>
      </c>
      <c r="AT165" s="82">
        <v>0</v>
      </c>
      <c r="AU165" s="82">
        <v>0</v>
      </c>
      <c r="AV165" s="83">
        <v>0</v>
      </c>
      <c r="AW165" s="80"/>
      <c r="AX165" s="81"/>
      <c r="AY165" s="81"/>
      <c r="AZ165" s="81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3"/>
      <c r="BO165" s="80"/>
      <c r="BP165" s="81"/>
      <c r="BQ165" s="81"/>
      <c r="BR165" s="81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3"/>
      <c r="CG165" s="80"/>
      <c r="CH165" s="81"/>
      <c r="CI165" s="81"/>
      <c r="CJ165" s="81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3"/>
      <c r="CY165" s="80"/>
      <c r="CZ165" s="81"/>
      <c r="DA165" s="81"/>
      <c r="DB165" s="81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3"/>
      <c r="DQ165" s="80"/>
      <c r="DR165" s="81"/>
      <c r="DS165" s="81"/>
      <c r="DT165" s="81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3"/>
      <c r="EI165" s="80"/>
      <c r="EJ165" s="81"/>
      <c r="EK165" s="81"/>
      <c r="EL165" s="81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3"/>
    </row>
    <row r="166" spans="1:156">
      <c r="A166" s="11"/>
      <c r="B166" s="103" t="s">
        <v>294</v>
      </c>
      <c r="C166" s="108" t="s">
        <v>295</v>
      </c>
      <c r="D166" s="104"/>
      <c r="E166" s="104"/>
      <c r="F166" s="116"/>
      <c r="G166" s="75">
        <f t="shared" si="85"/>
        <v>28695</v>
      </c>
      <c r="H166" s="76">
        <f t="shared" si="86"/>
        <v>0</v>
      </c>
      <c r="I166" s="77">
        <f t="shared" si="86"/>
        <v>0</v>
      </c>
      <c r="J166" s="77">
        <f t="shared" si="86"/>
        <v>0</v>
      </c>
      <c r="K166" s="77">
        <f t="shared" si="86"/>
        <v>0</v>
      </c>
      <c r="L166" s="78">
        <f t="shared" si="86"/>
        <v>0</v>
      </c>
      <c r="M166" s="78">
        <f t="shared" si="86"/>
        <v>0</v>
      </c>
      <c r="N166" s="78">
        <f t="shared" si="86"/>
        <v>0</v>
      </c>
      <c r="O166" s="78">
        <f t="shared" si="86"/>
        <v>0</v>
      </c>
      <c r="P166" s="78">
        <f t="shared" si="86"/>
        <v>0</v>
      </c>
      <c r="Q166" s="78">
        <f t="shared" si="86"/>
        <v>0</v>
      </c>
      <c r="R166" s="78">
        <f t="shared" si="86"/>
        <v>0</v>
      </c>
      <c r="S166" s="78">
        <f t="shared" si="86"/>
        <v>0</v>
      </c>
      <c r="T166" s="78">
        <f t="shared" si="86"/>
        <v>0</v>
      </c>
      <c r="U166" s="78">
        <f t="shared" si="86"/>
        <v>0</v>
      </c>
      <c r="V166" s="78">
        <f t="shared" si="86"/>
        <v>0</v>
      </c>
      <c r="W166" s="78">
        <f t="shared" si="86"/>
        <v>0</v>
      </c>
      <c r="X166" s="78">
        <f t="shared" si="87"/>
        <v>0</v>
      </c>
      <c r="Y166" s="78">
        <f t="shared" si="87"/>
        <v>0</v>
      </c>
      <c r="Z166" s="79">
        <f>SIS064_F_Likviduotonura1Elektrosenergi5</f>
        <v>0</v>
      </c>
      <c r="AA166" s="79">
        <f>SUM(SIS062_F_Likviduotonura1Geriamojovande1,SIS063_F_Likviduotonura1Geriamojovande1,SIS065_F_Likviduotonura1Geriamojovande1)</f>
        <v>0</v>
      </c>
      <c r="AB166" s="79">
        <f>SUM(SIS062_F_Likviduotonura1Paslaugaproduk8,SIS063_F_Likviduotonura1Paslaugaproduk8,SIS065_F_Likviduotonura1Paslaugaproduk8)</f>
        <v>0</v>
      </c>
      <c r="AC166" s="79">
        <f>SIS064_F_Likviduotonura1Elektrosenergi6</f>
        <v>0</v>
      </c>
      <c r="AD166" s="79">
        <f>SUM(SIS062_F_Likviduotonura1Paslaugaproduk9,SIS063_F_Likviduotonura1Paslaugaproduk9,SIS065_F_Likviduotonura1Paslaugaproduk9)</f>
        <v>28695</v>
      </c>
      <c r="AE166" s="80">
        <v>0</v>
      </c>
      <c r="AF166" s="81">
        <v>0</v>
      </c>
      <c r="AG166" s="81">
        <v>0</v>
      </c>
      <c r="AH166" s="81">
        <v>0</v>
      </c>
      <c r="AI166" s="82">
        <v>0</v>
      </c>
      <c r="AJ166" s="82">
        <v>0</v>
      </c>
      <c r="AK166" s="82">
        <v>0</v>
      </c>
      <c r="AL166" s="82">
        <v>0</v>
      </c>
      <c r="AM166" s="82">
        <v>0</v>
      </c>
      <c r="AN166" s="82">
        <v>0</v>
      </c>
      <c r="AO166" s="82">
        <v>0</v>
      </c>
      <c r="AP166" s="82">
        <v>0</v>
      </c>
      <c r="AQ166" s="82">
        <v>0</v>
      </c>
      <c r="AR166" s="82">
        <v>0</v>
      </c>
      <c r="AS166" s="82">
        <v>0</v>
      </c>
      <c r="AT166" s="82">
        <v>0</v>
      </c>
      <c r="AU166" s="82">
        <v>0</v>
      </c>
      <c r="AV166" s="83">
        <v>0</v>
      </c>
      <c r="AW166" s="80"/>
      <c r="AX166" s="81"/>
      <c r="AY166" s="81"/>
      <c r="AZ166" s="81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3"/>
      <c r="BO166" s="80"/>
      <c r="BP166" s="81"/>
      <c r="BQ166" s="81"/>
      <c r="BR166" s="81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3"/>
      <c r="CG166" s="80"/>
      <c r="CH166" s="81"/>
      <c r="CI166" s="81"/>
      <c r="CJ166" s="81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3"/>
      <c r="CY166" s="80"/>
      <c r="CZ166" s="81"/>
      <c r="DA166" s="81"/>
      <c r="DB166" s="81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3"/>
      <c r="DQ166" s="80"/>
      <c r="DR166" s="81"/>
      <c r="DS166" s="81"/>
      <c r="DT166" s="81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3"/>
      <c r="EI166" s="80"/>
      <c r="EJ166" s="81"/>
      <c r="EK166" s="81"/>
      <c r="EL166" s="81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3"/>
    </row>
    <row r="167" spans="1:156">
      <c r="A167" s="11"/>
      <c r="B167" s="103" t="s">
        <v>296</v>
      </c>
      <c r="C167" s="108" t="s">
        <v>297</v>
      </c>
      <c r="D167" s="104"/>
      <c r="E167" s="104"/>
      <c r="F167" s="116"/>
      <c r="G167" s="75">
        <f t="shared" si="85"/>
        <v>0</v>
      </c>
      <c r="H167" s="76">
        <f t="shared" si="86"/>
        <v>0</v>
      </c>
      <c r="I167" s="77">
        <f t="shared" si="86"/>
        <v>0</v>
      </c>
      <c r="J167" s="77">
        <f t="shared" si="86"/>
        <v>0</v>
      </c>
      <c r="K167" s="77">
        <f t="shared" si="86"/>
        <v>0</v>
      </c>
      <c r="L167" s="78">
        <f t="shared" si="86"/>
        <v>0</v>
      </c>
      <c r="M167" s="78">
        <f t="shared" si="86"/>
        <v>0</v>
      </c>
      <c r="N167" s="78">
        <f t="shared" si="86"/>
        <v>0</v>
      </c>
      <c r="O167" s="78">
        <f t="shared" si="86"/>
        <v>0</v>
      </c>
      <c r="P167" s="78">
        <f t="shared" si="86"/>
        <v>0</v>
      </c>
      <c r="Q167" s="78">
        <f t="shared" si="86"/>
        <v>0</v>
      </c>
      <c r="R167" s="78">
        <f t="shared" si="86"/>
        <v>0</v>
      </c>
      <c r="S167" s="78">
        <f t="shared" si="86"/>
        <v>0</v>
      </c>
      <c r="T167" s="78">
        <f t="shared" si="86"/>
        <v>0</v>
      </c>
      <c r="U167" s="78">
        <f t="shared" si="86"/>
        <v>0</v>
      </c>
      <c r="V167" s="78">
        <f t="shared" si="86"/>
        <v>0</v>
      </c>
      <c r="W167" s="78">
        <f t="shared" si="86"/>
        <v>0</v>
      </c>
      <c r="X167" s="78">
        <f t="shared" si="87"/>
        <v>0</v>
      </c>
      <c r="Y167" s="78">
        <f t="shared" si="87"/>
        <v>0</v>
      </c>
      <c r="Z167" s="79">
        <f>SIS064_F_Nurasytuatsisk1Elektrosenergi5</f>
        <v>0</v>
      </c>
      <c r="AA167" s="79">
        <f>SUM(SIS062_F_Nurasytuatsisk1Geriamojovande1,SIS063_F_Nurasytuatsisk1Geriamojovande1,SIS065_F_Nurasytuatsisk1Geriamojovande1)</f>
        <v>0</v>
      </c>
      <c r="AB167" s="79">
        <f>SUM(SIS062_F_Nurasytuatsisk1Paslaugaproduk8,SIS063_F_Nurasytuatsisk1Paslaugaproduk8,SIS065_F_Nurasytuatsisk1Paslaugaproduk8)</f>
        <v>0</v>
      </c>
      <c r="AC167" s="79">
        <f>SIS064_F_Nurasytuatsisk1Elektrosenergi6</f>
        <v>0</v>
      </c>
      <c r="AD167" s="79">
        <f>SUM(SIS062_F_Nurasytuatsisk1Paslaugaproduk9,SIS063_F_Nurasytuatsisk1Paslaugaproduk9,SIS065_F_Nurasytuatsisk1Paslaugaproduk9)</f>
        <v>0</v>
      </c>
      <c r="AE167" s="80">
        <v>0</v>
      </c>
      <c r="AF167" s="81">
        <v>0</v>
      </c>
      <c r="AG167" s="81">
        <v>0</v>
      </c>
      <c r="AH167" s="81">
        <v>0</v>
      </c>
      <c r="AI167" s="82">
        <v>0</v>
      </c>
      <c r="AJ167" s="82">
        <v>0</v>
      </c>
      <c r="AK167" s="82">
        <v>0</v>
      </c>
      <c r="AL167" s="82">
        <v>0</v>
      </c>
      <c r="AM167" s="82">
        <v>0</v>
      </c>
      <c r="AN167" s="82">
        <v>0</v>
      </c>
      <c r="AO167" s="82">
        <v>0</v>
      </c>
      <c r="AP167" s="82">
        <v>0</v>
      </c>
      <c r="AQ167" s="82">
        <v>0</v>
      </c>
      <c r="AR167" s="82">
        <v>0</v>
      </c>
      <c r="AS167" s="82">
        <v>0</v>
      </c>
      <c r="AT167" s="82">
        <v>0</v>
      </c>
      <c r="AU167" s="82">
        <v>0</v>
      </c>
      <c r="AV167" s="83">
        <v>0</v>
      </c>
      <c r="AW167" s="80"/>
      <c r="AX167" s="81"/>
      <c r="AY167" s="81"/>
      <c r="AZ167" s="81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3"/>
      <c r="BO167" s="80"/>
      <c r="BP167" s="81"/>
      <c r="BQ167" s="81"/>
      <c r="BR167" s="81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3"/>
      <c r="CG167" s="80"/>
      <c r="CH167" s="81"/>
      <c r="CI167" s="81"/>
      <c r="CJ167" s="81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3"/>
      <c r="CY167" s="80"/>
      <c r="CZ167" s="81"/>
      <c r="DA167" s="81"/>
      <c r="DB167" s="81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3"/>
      <c r="DQ167" s="80"/>
      <c r="DR167" s="81"/>
      <c r="DS167" s="81"/>
      <c r="DT167" s="81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3"/>
      <c r="EI167" s="80"/>
      <c r="EJ167" s="81"/>
      <c r="EK167" s="81"/>
      <c r="EL167" s="81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3"/>
    </row>
    <row r="168" spans="1:156">
      <c r="A168" s="11"/>
      <c r="B168" s="103" t="s">
        <v>298</v>
      </c>
      <c r="C168" s="104" t="s">
        <v>299</v>
      </c>
      <c r="D168" s="104"/>
      <c r="E168" s="104"/>
      <c r="F168" s="105"/>
      <c r="G168" s="75">
        <f t="shared" si="85"/>
        <v>0</v>
      </c>
      <c r="H168" s="76">
        <f t="shared" si="86"/>
        <v>0</v>
      </c>
      <c r="I168" s="77">
        <f t="shared" si="86"/>
        <v>0</v>
      </c>
      <c r="J168" s="77">
        <f t="shared" si="86"/>
        <v>0</v>
      </c>
      <c r="K168" s="77">
        <f t="shared" si="86"/>
        <v>0</v>
      </c>
      <c r="L168" s="78">
        <f t="shared" si="86"/>
        <v>0</v>
      </c>
      <c r="M168" s="78">
        <f t="shared" si="86"/>
        <v>0</v>
      </c>
      <c r="N168" s="78">
        <f t="shared" si="86"/>
        <v>0</v>
      </c>
      <c r="O168" s="78">
        <f t="shared" si="86"/>
        <v>0</v>
      </c>
      <c r="P168" s="78">
        <f t="shared" si="86"/>
        <v>0</v>
      </c>
      <c r="Q168" s="78">
        <f t="shared" si="86"/>
        <v>0</v>
      </c>
      <c r="R168" s="78">
        <f t="shared" si="86"/>
        <v>0</v>
      </c>
      <c r="S168" s="78">
        <f t="shared" si="86"/>
        <v>0</v>
      </c>
      <c r="T168" s="78">
        <f t="shared" si="86"/>
        <v>0</v>
      </c>
      <c r="U168" s="78">
        <f t="shared" si="86"/>
        <v>0</v>
      </c>
      <c r="V168" s="78">
        <f t="shared" si="86"/>
        <v>0</v>
      </c>
      <c r="W168" s="78">
        <f t="shared" si="86"/>
        <v>0</v>
      </c>
      <c r="X168" s="78">
        <f t="shared" si="87"/>
        <v>0</v>
      </c>
      <c r="Y168" s="78">
        <f t="shared" si="87"/>
        <v>0</v>
      </c>
      <c r="Z168" s="79">
        <f>SIS064_F_Labdaraparamas1Elektrosenergi5</f>
        <v>0</v>
      </c>
      <c r="AA168" s="79">
        <f>SUM(SIS062_F_Labdaraparamas1Geriamojovande1,SIS063_F_Labdaraparamas1Geriamojovande1,SIS065_F_Labdaraparamas1Geriamojovande1)</f>
        <v>0</v>
      </c>
      <c r="AB168" s="79">
        <f>SUM(SIS062_F_Labdaraparamas1Paslaugaproduk8,SIS063_F_Labdaraparamas1Paslaugaproduk8,SIS065_F_Labdaraparamas1Paslaugaproduk8)</f>
        <v>0</v>
      </c>
      <c r="AC168" s="79">
        <f>SIS064_F_Labdaraparamas1Elektrosenergi6</f>
        <v>0</v>
      </c>
      <c r="AD168" s="79">
        <f>SUM(SIS062_F_Labdaraparamas1Paslaugaproduk9,SIS063_F_Labdaraparamas1Paslaugaproduk9,SIS065_F_Labdaraparamas1Paslaugaproduk9)</f>
        <v>0</v>
      </c>
      <c r="AE168" s="80">
        <v>0</v>
      </c>
      <c r="AF168" s="81">
        <v>0</v>
      </c>
      <c r="AG168" s="81">
        <v>0</v>
      </c>
      <c r="AH168" s="81">
        <v>0</v>
      </c>
      <c r="AI168" s="82">
        <v>0</v>
      </c>
      <c r="AJ168" s="82">
        <v>0</v>
      </c>
      <c r="AK168" s="82">
        <v>0</v>
      </c>
      <c r="AL168" s="82">
        <v>0</v>
      </c>
      <c r="AM168" s="82">
        <v>0</v>
      </c>
      <c r="AN168" s="82">
        <v>0</v>
      </c>
      <c r="AO168" s="82">
        <v>0</v>
      </c>
      <c r="AP168" s="82">
        <v>0</v>
      </c>
      <c r="AQ168" s="82">
        <v>0</v>
      </c>
      <c r="AR168" s="82">
        <v>0</v>
      </c>
      <c r="AS168" s="82">
        <v>0</v>
      </c>
      <c r="AT168" s="82">
        <v>0</v>
      </c>
      <c r="AU168" s="82">
        <v>0</v>
      </c>
      <c r="AV168" s="83">
        <v>0</v>
      </c>
      <c r="AW168" s="80"/>
      <c r="AX168" s="81"/>
      <c r="AY168" s="81"/>
      <c r="AZ168" s="81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3"/>
      <c r="BO168" s="80"/>
      <c r="BP168" s="81"/>
      <c r="BQ168" s="81"/>
      <c r="BR168" s="81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3"/>
      <c r="CG168" s="80"/>
      <c r="CH168" s="81"/>
      <c r="CI168" s="81"/>
      <c r="CJ168" s="81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3"/>
      <c r="CY168" s="80"/>
      <c r="CZ168" s="81"/>
      <c r="DA168" s="81"/>
      <c r="DB168" s="81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3"/>
      <c r="DQ168" s="80"/>
      <c r="DR168" s="81"/>
      <c r="DS168" s="81"/>
      <c r="DT168" s="81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3"/>
      <c r="EI168" s="80"/>
      <c r="EJ168" s="81"/>
      <c r="EK168" s="81"/>
      <c r="EL168" s="81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3"/>
    </row>
    <row r="169" spans="1:156">
      <c r="A169" s="11"/>
      <c r="B169" s="128" t="s">
        <v>300</v>
      </c>
      <c r="C169" s="104" t="s">
        <v>301</v>
      </c>
      <c r="D169" s="104"/>
      <c r="E169" s="104"/>
      <c r="F169" s="105"/>
      <c r="G169" s="75">
        <f t="shared" si="85"/>
        <v>0</v>
      </c>
      <c r="H169" s="76">
        <f t="shared" si="86"/>
        <v>0</v>
      </c>
      <c r="I169" s="77">
        <f t="shared" si="86"/>
        <v>0</v>
      </c>
      <c r="J169" s="77">
        <f t="shared" si="86"/>
        <v>0</v>
      </c>
      <c r="K169" s="77">
        <f t="shared" si="86"/>
        <v>0</v>
      </c>
      <c r="L169" s="78">
        <f t="shared" si="86"/>
        <v>0</v>
      </c>
      <c r="M169" s="78">
        <f t="shared" si="86"/>
        <v>0</v>
      </c>
      <c r="N169" s="78">
        <f t="shared" si="86"/>
        <v>0</v>
      </c>
      <c r="O169" s="78">
        <f t="shared" si="86"/>
        <v>0</v>
      </c>
      <c r="P169" s="78">
        <f t="shared" si="86"/>
        <v>0</v>
      </c>
      <c r="Q169" s="78">
        <f t="shared" si="86"/>
        <v>0</v>
      </c>
      <c r="R169" s="78">
        <f t="shared" si="86"/>
        <v>0</v>
      </c>
      <c r="S169" s="78">
        <f t="shared" si="86"/>
        <v>0</v>
      </c>
      <c r="T169" s="78">
        <f t="shared" si="86"/>
        <v>0</v>
      </c>
      <c r="U169" s="78">
        <f t="shared" si="86"/>
        <v>0</v>
      </c>
      <c r="V169" s="78">
        <f t="shared" si="86"/>
        <v>0</v>
      </c>
      <c r="W169" s="78">
        <f t="shared" si="86"/>
        <v>0</v>
      </c>
      <c r="X169" s="78">
        <f t="shared" si="87"/>
        <v>0</v>
      </c>
      <c r="Y169" s="78">
        <f t="shared" si="87"/>
        <v>0</v>
      </c>
      <c r="Z169" s="79">
        <f>SIS064_F_Beviltiskossko1Elektrosenergi5</f>
        <v>0</v>
      </c>
      <c r="AA169" s="79">
        <f>SUM(SIS062_F_Beviltiskossko1Geriamojovande1,SIS063_F_Beviltiskossko1Geriamojovande1,SIS065_F_Beviltiskossko1Geriamojovande1)</f>
        <v>0</v>
      </c>
      <c r="AB169" s="79">
        <f>SUM(SIS062_F_Beviltiskossko1Paslaugaproduk8,SIS063_F_Beviltiskossko1Paslaugaproduk8,SIS065_F_Beviltiskossko1Paslaugaproduk8)</f>
        <v>0</v>
      </c>
      <c r="AC169" s="79">
        <f>SIS064_F_Beviltiskossko1Elektrosenergi6</f>
        <v>0</v>
      </c>
      <c r="AD169" s="79">
        <f>SUM(SIS062_F_Beviltiskossko1Paslaugaproduk9,SIS063_F_Beviltiskossko1Paslaugaproduk9,SIS065_F_Beviltiskossko1Paslaugaproduk9)</f>
        <v>0</v>
      </c>
      <c r="AE169" s="80">
        <v>0</v>
      </c>
      <c r="AF169" s="81">
        <v>0</v>
      </c>
      <c r="AG169" s="81">
        <v>0</v>
      </c>
      <c r="AH169" s="81">
        <v>0</v>
      </c>
      <c r="AI169" s="82">
        <v>0</v>
      </c>
      <c r="AJ169" s="82">
        <v>0</v>
      </c>
      <c r="AK169" s="82">
        <v>0</v>
      </c>
      <c r="AL169" s="82">
        <v>0</v>
      </c>
      <c r="AM169" s="82">
        <v>0</v>
      </c>
      <c r="AN169" s="82">
        <v>0</v>
      </c>
      <c r="AO169" s="82">
        <v>0</v>
      </c>
      <c r="AP169" s="82">
        <v>0</v>
      </c>
      <c r="AQ169" s="82">
        <v>0</v>
      </c>
      <c r="AR169" s="82">
        <v>0</v>
      </c>
      <c r="AS169" s="82">
        <v>0</v>
      </c>
      <c r="AT169" s="82">
        <v>0</v>
      </c>
      <c r="AU169" s="82">
        <v>0</v>
      </c>
      <c r="AV169" s="83">
        <v>0</v>
      </c>
      <c r="AW169" s="80"/>
      <c r="AX169" s="81"/>
      <c r="AY169" s="81"/>
      <c r="AZ169" s="81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3"/>
      <c r="BO169" s="80"/>
      <c r="BP169" s="81"/>
      <c r="BQ169" s="81"/>
      <c r="BR169" s="81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3"/>
      <c r="CG169" s="80"/>
      <c r="CH169" s="81"/>
      <c r="CI169" s="81"/>
      <c r="CJ169" s="81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3"/>
      <c r="CY169" s="80"/>
      <c r="CZ169" s="81"/>
      <c r="DA169" s="81"/>
      <c r="DB169" s="81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3"/>
      <c r="DQ169" s="80"/>
      <c r="DR169" s="81"/>
      <c r="DS169" s="81"/>
      <c r="DT169" s="81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3"/>
      <c r="EI169" s="80"/>
      <c r="EJ169" s="81"/>
      <c r="EK169" s="81"/>
      <c r="EL169" s="81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3"/>
    </row>
    <row r="170" spans="1:156">
      <c r="A170" s="11"/>
      <c r="B170" s="128" t="s">
        <v>302</v>
      </c>
      <c r="C170" s="104" t="s">
        <v>303</v>
      </c>
      <c r="D170" s="104"/>
      <c r="E170" s="104"/>
      <c r="F170" s="105"/>
      <c r="G170" s="75">
        <f t="shared" si="85"/>
        <v>0</v>
      </c>
      <c r="H170" s="76">
        <f t="shared" si="86"/>
        <v>0</v>
      </c>
      <c r="I170" s="77">
        <f t="shared" si="86"/>
        <v>0</v>
      </c>
      <c r="J170" s="77">
        <f t="shared" si="86"/>
        <v>0</v>
      </c>
      <c r="K170" s="77">
        <f t="shared" si="86"/>
        <v>0</v>
      </c>
      <c r="L170" s="78">
        <f t="shared" si="86"/>
        <v>0</v>
      </c>
      <c r="M170" s="78">
        <f t="shared" si="86"/>
        <v>0</v>
      </c>
      <c r="N170" s="78">
        <f t="shared" si="86"/>
        <v>0</v>
      </c>
      <c r="O170" s="78">
        <f t="shared" si="86"/>
        <v>0</v>
      </c>
      <c r="P170" s="78">
        <f t="shared" si="86"/>
        <v>0</v>
      </c>
      <c r="Q170" s="78">
        <f t="shared" si="86"/>
        <v>0</v>
      </c>
      <c r="R170" s="78">
        <f t="shared" si="86"/>
        <v>0</v>
      </c>
      <c r="S170" s="78">
        <f t="shared" si="86"/>
        <v>0</v>
      </c>
      <c r="T170" s="78">
        <f t="shared" si="86"/>
        <v>0</v>
      </c>
      <c r="U170" s="78">
        <f t="shared" si="86"/>
        <v>0</v>
      </c>
      <c r="V170" s="78">
        <f t="shared" si="86"/>
        <v>0</v>
      </c>
      <c r="W170" s="78">
        <f t="shared" si="86"/>
        <v>0</v>
      </c>
      <c r="X170" s="78">
        <f t="shared" si="87"/>
        <v>0</v>
      </c>
      <c r="Y170" s="78">
        <f t="shared" si="87"/>
        <v>0</v>
      </c>
      <c r="Z170" s="79">
        <f>SIS064_F_Priskaitytosba1Elektrosenergi5</f>
        <v>0</v>
      </c>
      <c r="AA170" s="79">
        <f>SUM(SIS062_F_Priskaitytosba1Geriamojovande1,SIS063_F_Priskaitytosba1Geriamojovande1,SIS065_F_Priskaitytosba1Geriamojovande1)</f>
        <v>0</v>
      </c>
      <c r="AB170" s="79">
        <f>SUM(SIS062_F_Priskaitytosba1Paslaugaproduk8,SIS063_F_Priskaitytosba1Paslaugaproduk8,SIS065_F_Priskaitytosba1Paslaugaproduk8)</f>
        <v>0</v>
      </c>
      <c r="AC170" s="79">
        <f>SIS064_F_Priskaitytosba1Elektrosenergi6</f>
        <v>0</v>
      </c>
      <c r="AD170" s="79">
        <f>SUM(SIS062_F_Priskaitytosba1Paslaugaproduk9,SIS063_F_Priskaitytosba1Paslaugaproduk9,SIS065_F_Priskaitytosba1Paslaugaproduk9)</f>
        <v>0</v>
      </c>
      <c r="AE170" s="80">
        <v>0</v>
      </c>
      <c r="AF170" s="81">
        <v>0</v>
      </c>
      <c r="AG170" s="81">
        <v>0</v>
      </c>
      <c r="AH170" s="81">
        <v>0</v>
      </c>
      <c r="AI170" s="82">
        <v>0</v>
      </c>
      <c r="AJ170" s="82">
        <v>0</v>
      </c>
      <c r="AK170" s="82">
        <v>0</v>
      </c>
      <c r="AL170" s="82">
        <v>0</v>
      </c>
      <c r="AM170" s="82">
        <v>0</v>
      </c>
      <c r="AN170" s="82">
        <v>0</v>
      </c>
      <c r="AO170" s="82">
        <v>0</v>
      </c>
      <c r="AP170" s="82">
        <v>0</v>
      </c>
      <c r="AQ170" s="82">
        <v>0</v>
      </c>
      <c r="AR170" s="82">
        <v>0</v>
      </c>
      <c r="AS170" s="82">
        <v>0</v>
      </c>
      <c r="AT170" s="82">
        <v>0</v>
      </c>
      <c r="AU170" s="82">
        <v>0</v>
      </c>
      <c r="AV170" s="83">
        <v>0</v>
      </c>
      <c r="AW170" s="80"/>
      <c r="AX170" s="81"/>
      <c r="AY170" s="81"/>
      <c r="AZ170" s="81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3"/>
      <c r="BO170" s="80"/>
      <c r="BP170" s="81"/>
      <c r="BQ170" s="81"/>
      <c r="BR170" s="81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3"/>
      <c r="CG170" s="80"/>
      <c r="CH170" s="81"/>
      <c r="CI170" s="81"/>
      <c r="CJ170" s="81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3"/>
      <c r="CY170" s="80"/>
      <c r="CZ170" s="81"/>
      <c r="DA170" s="81"/>
      <c r="DB170" s="81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3"/>
      <c r="DQ170" s="80"/>
      <c r="DR170" s="81"/>
      <c r="DS170" s="81"/>
      <c r="DT170" s="81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3"/>
      <c r="EI170" s="80"/>
      <c r="EJ170" s="81"/>
      <c r="EK170" s="81"/>
      <c r="EL170" s="81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3"/>
    </row>
    <row r="171" spans="1:156">
      <c r="A171" s="11"/>
      <c r="B171" s="128" t="s">
        <v>304</v>
      </c>
      <c r="C171" s="104" t="s">
        <v>305</v>
      </c>
      <c r="D171" s="104"/>
      <c r="E171" s="104"/>
      <c r="F171" s="105"/>
      <c r="G171" s="75">
        <f t="shared" si="85"/>
        <v>0</v>
      </c>
      <c r="H171" s="76">
        <f t="shared" si="86"/>
        <v>0</v>
      </c>
      <c r="I171" s="77">
        <f t="shared" si="86"/>
        <v>0</v>
      </c>
      <c r="J171" s="77">
        <f t="shared" si="86"/>
        <v>0</v>
      </c>
      <c r="K171" s="77">
        <f t="shared" si="86"/>
        <v>0</v>
      </c>
      <c r="L171" s="78">
        <f t="shared" si="86"/>
        <v>0</v>
      </c>
      <c r="M171" s="78">
        <f t="shared" si="86"/>
        <v>0</v>
      </c>
      <c r="N171" s="78">
        <f t="shared" si="86"/>
        <v>0</v>
      </c>
      <c r="O171" s="78">
        <f t="shared" si="86"/>
        <v>0</v>
      </c>
      <c r="P171" s="78">
        <f t="shared" si="86"/>
        <v>0</v>
      </c>
      <c r="Q171" s="78">
        <f t="shared" si="86"/>
        <v>0</v>
      </c>
      <c r="R171" s="78">
        <f t="shared" si="86"/>
        <v>0</v>
      </c>
      <c r="S171" s="78">
        <f t="shared" si="86"/>
        <v>0</v>
      </c>
      <c r="T171" s="78">
        <f t="shared" si="86"/>
        <v>0</v>
      </c>
      <c r="U171" s="78">
        <f t="shared" si="86"/>
        <v>0</v>
      </c>
      <c r="V171" s="78">
        <f t="shared" si="86"/>
        <v>0</v>
      </c>
      <c r="W171" s="78">
        <f t="shared" si="86"/>
        <v>0</v>
      </c>
      <c r="X171" s="78">
        <f t="shared" si="87"/>
        <v>0</v>
      </c>
      <c r="Y171" s="78">
        <f t="shared" si="87"/>
        <v>0</v>
      </c>
      <c r="Z171" s="79">
        <f>SIS064_F_Tantjemos1Elektrosenergi5</f>
        <v>0</v>
      </c>
      <c r="AA171" s="79">
        <f>SUM(SIS062_F_Tantjemos1Geriamojovande1,SIS063_F_Tantjemos1Geriamojovande1,SIS065_F_Tantjemos1Geriamojovande1)</f>
        <v>0</v>
      </c>
      <c r="AB171" s="79">
        <f>SUM(SIS062_F_Tantjemos1Paslaugaproduk8,SIS063_F_Tantjemos1Paslaugaproduk8,SIS065_F_Tantjemos1Paslaugaproduk8)</f>
        <v>0</v>
      </c>
      <c r="AC171" s="79">
        <f>SIS064_F_Tantjemos1Elektrosenergi6</f>
        <v>0</v>
      </c>
      <c r="AD171" s="79">
        <f>SUM(SIS062_F_Tantjemos1Paslaugaproduk9,SIS063_F_Tantjemos1Paslaugaproduk9,SIS065_F_Tantjemos1Paslaugaproduk9)</f>
        <v>0</v>
      </c>
      <c r="AE171" s="80">
        <v>0</v>
      </c>
      <c r="AF171" s="81">
        <v>0</v>
      </c>
      <c r="AG171" s="81">
        <v>0</v>
      </c>
      <c r="AH171" s="81">
        <v>0</v>
      </c>
      <c r="AI171" s="82">
        <v>0</v>
      </c>
      <c r="AJ171" s="82">
        <v>0</v>
      </c>
      <c r="AK171" s="82">
        <v>0</v>
      </c>
      <c r="AL171" s="82">
        <v>0</v>
      </c>
      <c r="AM171" s="82">
        <v>0</v>
      </c>
      <c r="AN171" s="82">
        <v>0</v>
      </c>
      <c r="AO171" s="82">
        <v>0</v>
      </c>
      <c r="AP171" s="82">
        <v>0</v>
      </c>
      <c r="AQ171" s="82">
        <v>0</v>
      </c>
      <c r="AR171" s="82">
        <v>0</v>
      </c>
      <c r="AS171" s="82">
        <v>0</v>
      </c>
      <c r="AT171" s="82">
        <v>0</v>
      </c>
      <c r="AU171" s="82">
        <v>0</v>
      </c>
      <c r="AV171" s="83">
        <v>0</v>
      </c>
      <c r="AW171" s="80"/>
      <c r="AX171" s="81"/>
      <c r="AY171" s="81"/>
      <c r="AZ171" s="81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3"/>
      <c r="BO171" s="80"/>
      <c r="BP171" s="81"/>
      <c r="BQ171" s="81"/>
      <c r="BR171" s="81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3"/>
      <c r="CG171" s="80"/>
      <c r="CH171" s="81"/>
      <c r="CI171" s="81"/>
      <c r="CJ171" s="81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3"/>
      <c r="CY171" s="80"/>
      <c r="CZ171" s="81"/>
      <c r="DA171" s="81"/>
      <c r="DB171" s="81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3"/>
      <c r="DQ171" s="80"/>
      <c r="DR171" s="81"/>
      <c r="DS171" s="81"/>
      <c r="DT171" s="81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3"/>
      <c r="EI171" s="80"/>
      <c r="EJ171" s="81"/>
      <c r="EK171" s="81"/>
      <c r="EL171" s="81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3"/>
    </row>
    <row r="172" spans="1:156">
      <c r="A172" s="11"/>
      <c r="B172" s="128" t="s">
        <v>306</v>
      </c>
      <c r="C172" s="129" t="str">
        <f>SIS055_D_Kitospastovios2</f>
        <v>Kitos pastoviosios sąnaudos (nurodyti)</v>
      </c>
      <c r="D172" s="129"/>
      <c r="E172" s="129"/>
      <c r="F172" s="130"/>
      <c r="G172" s="75">
        <f t="shared" si="85"/>
        <v>1.1499999999999999</v>
      </c>
      <c r="H172" s="131">
        <f t="shared" si="86"/>
        <v>0</v>
      </c>
      <c r="I172" s="132">
        <f t="shared" si="86"/>
        <v>0</v>
      </c>
      <c r="J172" s="132">
        <f t="shared" si="86"/>
        <v>0</v>
      </c>
      <c r="K172" s="132">
        <f t="shared" si="86"/>
        <v>0</v>
      </c>
      <c r="L172" s="133">
        <f t="shared" si="86"/>
        <v>0</v>
      </c>
      <c r="M172" s="133">
        <f t="shared" si="86"/>
        <v>0</v>
      </c>
      <c r="N172" s="133">
        <f t="shared" si="86"/>
        <v>0</v>
      </c>
      <c r="O172" s="133">
        <f t="shared" si="86"/>
        <v>0</v>
      </c>
      <c r="P172" s="133">
        <f t="shared" si="86"/>
        <v>0</v>
      </c>
      <c r="Q172" s="133">
        <f t="shared" si="86"/>
        <v>0</v>
      </c>
      <c r="R172" s="133">
        <f t="shared" si="86"/>
        <v>0</v>
      </c>
      <c r="S172" s="133">
        <f t="shared" si="86"/>
        <v>0</v>
      </c>
      <c r="T172" s="133">
        <f t="shared" si="86"/>
        <v>0</v>
      </c>
      <c r="U172" s="133">
        <f t="shared" si="86"/>
        <v>0</v>
      </c>
      <c r="V172" s="133">
        <f t="shared" si="86"/>
        <v>0</v>
      </c>
      <c r="W172" s="133">
        <f t="shared" si="86"/>
        <v>0</v>
      </c>
      <c r="X172" s="133">
        <f t="shared" si="87"/>
        <v>0</v>
      </c>
      <c r="Y172" s="133">
        <f t="shared" si="87"/>
        <v>0</v>
      </c>
      <c r="Z172" s="134">
        <f>SIS064_F_Kitospastovios2Elektrosenergi5</f>
        <v>0</v>
      </c>
      <c r="AA172" s="134">
        <f>SUM(SIS062_F_Kitospastovios2Geriamojovande1,SIS063_F_Kitospastovios2Geriamojovande1,SIS065_F_Kitospastovios2Geriamojovande1)</f>
        <v>0</v>
      </c>
      <c r="AB172" s="134">
        <f>SUM(SIS062_F_Kitospastovios2Paslaugaproduk8,SIS063_F_Kitospastovios2Paslaugaproduk8,SIS065_F_Kitospastovios2Paslaugaproduk8)</f>
        <v>0</v>
      </c>
      <c r="AC172" s="134">
        <f>SIS064_F_Kitospastovios2Elektrosenergi6</f>
        <v>0</v>
      </c>
      <c r="AD172" s="134">
        <f>SUM(SIS062_F_Kitospastovios2Paslaugaproduk9,SIS063_F_Kitospastovios2Paslaugaproduk9,SIS065_F_Kitospastovios2Paslaugaproduk9)</f>
        <v>1.1499999999999999</v>
      </c>
      <c r="AE172" s="80">
        <v>0</v>
      </c>
      <c r="AF172" s="81">
        <v>0</v>
      </c>
      <c r="AG172" s="81">
        <v>0</v>
      </c>
      <c r="AH172" s="81">
        <v>0</v>
      </c>
      <c r="AI172" s="82">
        <v>0</v>
      </c>
      <c r="AJ172" s="82">
        <v>0</v>
      </c>
      <c r="AK172" s="82">
        <v>0</v>
      </c>
      <c r="AL172" s="82">
        <v>0</v>
      </c>
      <c r="AM172" s="82">
        <v>0</v>
      </c>
      <c r="AN172" s="82">
        <v>0</v>
      </c>
      <c r="AO172" s="82">
        <v>0</v>
      </c>
      <c r="AP172" s="82">
        <v>0</v>
      </c>
      <c r="AQ172" s="82">
        <v>0</v>
      </c>
      <c r="AR172" s="82">
        <v>0</v>
      </c>
      <c r="AS172" s="82">
        <v>0</v>
      </c>
      <c r="AT172" s="82">
        <v>0</v>
      </c>
      <c r="AU172" s="82">
        <v>0</v>
      </c>
      <c r="AV172" s="83">
        <v>0</v>
      </c>
      <c r="AW172" s="80"/>
      <c r="AX172" s="81"/>
      <c r="AY172" s="81"/>
      <c r="AZ172" s="81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3"/>
      <c r="BO172" s="80"/>
      <c r="BP172" s="81"/>
      <c r="BQ172" s="81"/>
      <c r="BR172" s="81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3"/>
      <c r="CG172" s="80"/>
      <c r="CH172" s="81"/>
      <c r="CI172" s="81"/>
      <c r="CJ172" s="81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3"/>
      <c r="CY172" s="80"/>
      <c r="CZ172" s="81"/>
      <c r="DA172" s="81"/>
      <c r="DB172" s="81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3"/>
      <c r="DQ172" s="80"/>
      <c r="DR172" s="81"/>
      <c r="DS172" s="81"/>
      <c r="DT172" s="81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3"/>
      <c r="EI172" s="80"/>
      <c r="EJ172" s="81"/>
      <c r="EK172" s="81"/>
      <c r="EL172" s="81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82"/>
      <c r="EZ172" s="83"/>
    </row>
    <row r="173" spans="1:156" ht="15.75" thickBot="1">
      <c r="A173" s="11"/>
      <c r="B173" s="128" t="s">
        <v>307</v>
      </c>
      <c r="C173" s="129" t="str">
        <f>SIS055_D_Kitospastovios3</f>
        <v>Kitos pastoviosios sąnaudos (nurodyti)</v>
      </c>
      <c r="D173" s="129"/>
      <c r="E173" s="129"/>
      <c r="F173" s="130"/>
      <c r="G173" s="75">
        <f t="shared" si="85"/>
        <v>0</v>
      </c>
      <c r="H173" s="131">
        <f t="shared" si="86"/>
        <v>0</v>
      </c>
      <c r="I173" s="132">
        <f t="shared" si="86"/>
        <v>0</v>
      </c>
      <c r="J173" s="132">
        <f t="shared" si="86"/>
        <v>0</v>
      </c>
      <c r="K173" s="132">
        <f t="shared" si="86"/>
        <v>0</v>
      </c>
      <c r="L173" s="133">
        <f t="shared" si="86"/>
        <v>0</v>
      </c>
      <c r="M173" s="133">
        <f t="shared" si="86"/>
        <v>0</v>
      </c>
      <c r="N173" s="133">
        <f t="shared" si="86"/>
        <v>0</v>
      </c>
      <c r="O173" s="133">
        <f t="shared" si="86"/>
        <v>0</v>
      </c>
      <c r="P173" s="133">
        <f t="shared" si="86"/>
        <v>0</v>
      </c>
      <c r="Q173" s="133">
        <f t="shared" si="86"/>
        <v>0</v>
      </c>
      <c r="R173" s="133">
        <f t="shared" si="86"/>
        <v>0</v>
      </c>
      <c r="S173" s="133">
        <f t="shared" si="86"/>
        <v>0</v>
      </c>
      <c r="T173" s="133">
        <f t="shared" si="86"/>
        <v>0</v>
      </c>
      <c r="U173" s="133">
        <f t="shared" si="86"/>
        <v>0</v>
      </c>
      <c r="V173" s="133">
        <f t="shared" si="86"/>
        <v>0</v>
      </c>
      <c r="W173" s="133">
        <f t="shared" si="86"/>
        <v>0</v>
      </c>
      <c r="X173" s="133">
        <f t="shared" si="87"/>
        <v>0</v>
      </c>
      <c r="Y173" s="133">
        <f t="shared" si="87"/>
        <v>0</v>
      </c>
      <c r="Z173" s="134">
        <f>SIS064_F_Kitospastovios3Elektrosenergi5</f>
        <v>0</v>
      </c>
      <c r="AA173" s="134">
        <f>SUM(SIS062_F_Kitospastovios3Geriamojovande1,SIS063_F_Kitospastovios3Geriamojovande1,SIS065_F_Kitospastovios3Geriamojovande1)</f>
        <v>0</v>
      </c>
      <c r="AB173" s="134">
        <f>SUM(SIS062_F_Kitospastovios3Paslaugaproduk8,SIS063_F_Kitospastovios3Paslaugaproduk8,SIS065_F_Kitospastovios3Paslaugaproduk8)</f>
        <v>0</v>
      </c>
      <c r="AC173" s="134">
        <f>SIS064_F_Kitospastovios3Elektrosenergi6</f>
        <v>0</v>
      </c>
      <c r="AD173" s="134">
        <f>SUM(SIS062_F_Kitospastovios3Paslaugaproduk9,SIS063_F_Kitospastovios3Paslaugaproduk9,SIS065_F_Kitospastovios3Paslaugaproduk9)</f>
        <v>0</v>
      </c>
      <c r="AE173" s="80">
        <v>0</v>
      </c>
      <c r="AF173" s="81">
        <v>0</v>
      </c>
      <c r="AG173" s="81">
        <v>0</v>
      </c>
      <c r="AH173" s="81">
        <v>0</v>
      </c>
      <c r="AI173" s="82">
        <v>0</v>
      </c>
      <c r="AJ173" s="82">
        <v>0</v>
      </c>
      <c r="AK173" s="82">
        <v>0</v>
      </c>
      <c r="AL173" s="82">
        <v>0</v>
      </c>
      <c r="AM173" s="82">
        <v>0</v>
      </c>
      <c r="AN173" s="82">
        <v>0</v>
      </c>
      <c r="AO173" s="82">
        <v>0</v>
      </c>
      <c r="AP173" s="82">
        <v>0</v>
      </c>
      <c r="AQ173" s="82">
        <v>0</v>
      </c>
      <c r="AR173" s="82">
        <v>0</v>
      </c>
      <c r="AS173" s="82">
        <v>0</v>
      </c>
      <c r="AT173" s="82">
        <v>0</v>
      </c>
      <c r="AU173" s="82">
        <v>0</v>
      </c>
      <c r="AV173" s="83">
        <v>0</v>
      </c>
      <c r="AW173" s="80"/>
      <c r="AX173" s="81"/>
      <c r="AY173" s="81"/>
      <c r="AZ173" s="81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3"/>
      <c r="BO173" s="80"/>
      <c r="BP173" s="81"/>
      <c r="BQ173" s="81"/>
      <c r="BR173" s="81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3"/>
      <c r="CG173" s="80"/>
      <c r="CH173" s="81"/>
      <c r="CI173" s="81"/>
      <c r="CJ173" s="81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3"/>
      <c r="CY173" s="80"/>
      <c r="CZ173" s="81"/>
      <c r="DA173" s="81"/>
      <c r="DB173" s="81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3"/>
      <c r="DQ173" s="80"/>
      <c r="DR173" s="81"/>
      <c r="DS173" s="81"/>
      <c r="DT173" s="81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3"/>
      <c r="EI173" s="80"/>
      <c r="EJ173" s="81"/>
      <c r="EK173" s="81"/>
      <c r="EL173" s="81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3"/>
    </row>
    <row r="174" spans="1:156" ht="15.75" thickBot="1">
      <c r="A174" s="11"/>
      <c r="B174" s="135" t="s">
        <v>308</v>
      </c>
      <c r="C174" s="136"/>
      <c r="D174" s="136"/>
      <c r="E174" s="136"/>
      <c r="F174" s="137"/>
      <c r="G174" s="138">
        <f t="shared" ref="G174:BR174" si="88">SUM(G18,G21,G30,G34,G38,G42,G50,G78,G105,G117,G125,G131,G144,G155,G158)</f>
        <v>3650287.2824011822</v>
      </c>
      <c r="H174" s="139">
        <f t="shared" si="88"/>
        <v>2659998.1542109563</v>
      </c>
      <c r="I174" s="139">
        <f t="shared" si="88"/>
        <v>0</v>
      </c>
      <c r="J174" s="139">
        <f t="shared" si="88"/>
        <v>5.3597287666024796E-3</v>
      </c>
      <c r="K174" s="139">
        <f t="shared" si="88"/>
        <v>0</v>
      </c>
      <c r="L174" s="140">
        <f t="shared" si="88"/>
        <v>0</v>
      </c>
      <c r="M174" s="140">
        <f t="shared" si="88"/>
        <v>593191.96224560437</v>
      </c>
      <c r="N174" s="140">
        <f t="shared" si="88"/>
        <v>0</v>
      </c>
      <c r="O174" s="140">
        <f t="shared" si="88"/>
        <v>0</v>
      </c>
      <c r="P174" s="140">
        <f t="shared" si="88"/>
        <v>64182.452534542143</v>
      </c>
      <c r="Q174" s="140">
        <f t="shared" si="88"/>
        <v>160583.6313027397</v>
      </c>
      <c r="R174" s="140">
        <f t="shared" si="88"/>
        <v>0</v>
      </c>
      <c r="S174" s="140">
        <f t="shared" si="88"/>
        <v>2342.5803854267865</v>
      </c>
      <c r="T174" s="140">
        <f t="shared" si="88"/>
        <v>0</v>
      </c>
      <c r="U174" s="140">
        <f t="shared" si="88"/>
        <v>0</v>
      </c>
      <c r="V174" s="140">
        <f t="shared" si="88"/>
        <v>0</v>
      </c>
      <c r="W174" s="140">
        <f t="shared" si="88"/>
        <v>0</v>
      </c>
      <c r="X174" s="140">
        <f t="shared" si="88"/>
        <v>0</v>
      </c>
      <c r="Y174" s="140">
        <f t="shared" si="88"/>
        <v>3429.52</v>
      </c>
      <c r="Z174" s="140">
        <f t="shared" si="88"/>
        <v>0</v>
      </c>
      <c r="AA174" s="140">
        <f t="shared" si="88"/>
        <v>0</v>
      </c>
      <c r="AB174" s="140">
        <f t="shared" si="88"/>
        <v>0</v>
      </c>
      <c r="AC174" s="140">
        <f t="shared" si="88"/>
        <v>0</v>
      </c>
      <c r="AD174" s="140">
        <f t="shared" si="88"/>
        <v>166558.97636218375</v>
      </c>
      <c r="AE174" s="141">
        <f t="shared" si="88"/>
        <v>2659998.1542109563</v>
      </c>
      <c r="AF174" s="139">
        <f t="shared" si="88"/>
        <v>0</v>
      </c>
      <c r="AG174" s="139">
        <f t="shared" si="88"/>
        <v>5.3597287666024796E-3</v>
      </c>
      <c r="AH174" s="139">
        <f t="shared" si="88"/>
        <v>0</v>
      </c>
      <c r="AI174" s="140">
        <f t="shared" si="88"/>
        <v>0</v>
      </c>
      <c r="AJ174" s="140">
        <f t="shared" si="88"/>
        <v>593191.96224560437</v>
      </c>
      <c r="AK174" s="140">
        <f t="shared" si="88"/>
        <v>0</v>
      </c>
      <c r="AL174" s="140">
        <f t="shared" si="88"/>
        <v>0</v>
      </c>
      <c r="AM174" s="140">
        <f t="shared" si="88"/>
        <v>64182.452534542143</v>
      </c>
      <c r="AN174" s="140">
        <f t="shared" si="88"/>
        <v>160583.6313027397</v>
      </c>
      <c r="AO174" s="140">
        <f t="shared" si="88"/>
        <v>0</v>
      </c>
      <c r="AP174" s="140">
        <f t="shared" si="88"/>
        <v>2342.5803854267865</v>
      </c>
      <c r="AQ174" s="140">
        <f t="shared" si="88"/>
        <v>0</v>
      </c>
      <c r="AR174" s="140">
        <f t="shared" si="88"/>
        <v>0</v>
      </c>
      <c r="AS174" s="140">
        <f t="shared" si="88"/>
        <v>0</v>
      </c>
      <c r="AT174" s="140">
        <f t="shared" si="88"/>
        <v>0</v>
      </c>
      <c r="AU174" s="140">
        <f t="shared" si="88"/>
        <v>0</v>
      </c>
      <c r="AV174" s="142">
        <f t="shared" si="88"/>
        <v>3429.52</v>
      </c>
      <c r="AW174" s="141">
        <f t="shared" si="88"/>
        <v>0</v>
      </c>
      <c r="AX174" s="139">
        <f t="shared" si="88"/>
        <v>0</v>
      </c>
      <c r="AY174" s="139">
        <f t="shared" si="88"/>
        <v>0</v>
      </c>
      <c r="AZ174" s="139">
        <f t="shared" si="88"/>
        <v>0</v>
      </c>
      <c r="BA174" s="140">
        <f t="shared" si="88"/>
        <v>0</v>
      </c>
      <c r="BB174" s="140">
        <f t="shared" si="88"/>
        <v>0</v>
      </c>
      <c r="BC174" s="140">
        <f t="shared" si="88"/>
        <v>0</v>
      </c>
      <c r="BD174" s="140">
        <f t="shared" si="88"/>
        <v>0</v>
      </c>
      <c r="BE174" s="140">
        <f t="shared" si="88"/>
        <v>0</v>
      </c>
      <c r="BF174" s="140">
        <f t="shared" si="88"/>
        <v>0</v>
      </c>
      <c r="BG174" s="140">
        <f t="shared" si="88"/>
        <v>0</v>
      </c>
      <c r="BH174" s="140">
        <f t="shared" si="88"/>
        <v>0</v>
      </c>
      <c r="BI174" s="140">
        <f t="shared" si="88"/>
        <v>0</v>
      </c>
      <c r="BJ174" s="140">
        <f t="shared" si="88"/>
        <v>0</v>
      </c>
      <c r="BK174" s="140">
        <f t="shared" si="88"/>
        <v>0</v>
      </c>
      <c r="BL174" s="140">
        <f t="shared" si="88"/>
        <v>0</v>
      </c>
      <c r="BM174" s="140">
        <f t="shared" si="88"/>
        <v>0</v>
      </c>
      <c r="BN174" s="142">
        <f t="shared" si="88"/>
        <v>0</v>
      </c>
      <c r="BO174" s="141">
        <f t="shared" si="88"/>
        <v>0</v>
      </c>
      <c r="BP174" s="139">
        <f t="shared" si="88"/>
        <v>0</v>
      </c>
      <c r="BQ174" s="139">
        <f t="shared" si="88"/>
        <v>0</v>
      </c>
      <c r="BR174" s="139">
        <f t="shared" si="88"/>
        <v>0</v>
      </c>
      <c r="BS174" s="140">
        <f t="shared" ref="BS174:ED174" si="89">SUM(BS18,BS21,BS30,BS34,BS38,BS42,BS50,BS78,BS105,BS117,BS125,BS131,BS144,BS155,BS158)</f>
        <v>0</v>
      </c>
      <c r="BT174" s="140">
        <f t="shared" si="89"/>
        <v>0</v>
      </c>
      <c r="BU174" s="140">
        <f t="shared" si="89"/>
        <v>0</v>
      </c>
      <c r="BV174" s="140">
        <f t="shared" si="89"/>
        <v>0</v>
      </c>
      <c r="BW174" s="140">
        <f t="shared" si="89"/>
        <v>0</v>
      </c>
      <c r="BX174" s="140">
        <f t="shared" si="89"/>
        <v>0</v>
      </c>
      <c r="BY174" s="140">
        <f t="shared" si="89"/>
        <v>0</v>
      </c>
      <c r="BZ174" s="140">
        <f t="shared" si="89"/>
        <v>0</v>
      </c>
      <c r="CA174" s="140">
        <f t="shared" si="89"/>
        <v>0</v>
      </c>
      <c r="CB174" s="140">
        <f t="shared" si="89"/>
        <v>0</v>
      </c>
      <c r="CC174" s="140">
        <f t="shared" si="89"/>
        <v>0</v>
      </c>
      <c r="CD174" s="140">
        <f t="shared" si="89"/>
        <v>0</v>
      </c>
      <c r="CE174" s="140">
        <f t="shared" si="89"/>
        <v>0</v>
      </c>
      <c r="CF174" s="142">
        <f t="shared" si="89"/>
        <v>0</v>
      </c>
      <c r="CG174" s="141">
        <f t="shared" si="89"/>
        <v>0</v>
      </c>
      <c r="CH174" s="139">
        <f t="shared" si="89"/>
        <v>0</v>
      </c>
      <c r="CI174" s="139">
        <f t="shared" si="89"/>
        <v>0</v>
      </c>
      <c r="CJ174" s="139">
        <f t="shared" si="89"/>
        <v>0</v>
      </c>
      <c r="CK174" s="140">
        <f t="shared" si="89"/>
        <v>0</v>
      </c>
      <c r="CL174" s="140">
        <f t="shared" si="89"/>
        <v>0</v>
      </c>
      <c r="CM174" s="140">
        <f t="shared" si="89"/>
        <v>0</v>
      </c>
      <c r="CN174" s="140">
        <f t="shared" si="89"/>
        <v>0</v>
      </c>
      <c r="CO174" s="140">
        <f t="shared" si="89"/>
        <v>0</v>
      </c>
      <c r="CP174" s="140">
        <f t="shared" si="89"/>
        <v>0</v>
      </c>
      <c r="CQ174" s="140">
        <f t="shared" si="89"/>
        <v>0</v>
      </c>
      <c r="CR174" s="140">
        <f t="shared" si="89"/>
        <v>0</v>
      </c>
      <c r="CS174" s="140">
        <f t="shared" si="89"/>
        <v>0</v>
      </c>
      <c r="CT174" s="140">
        <f t="shared" si="89"/>
        <v>0</v>
      </c>
      <c r="CU174" s="140">
        <f t="shared" si="89"/>
        <v>0</v>
      </c>
      <c r="CV174" s="140">
        <f t="shared" si="89"/>
        <v>0</v>
      </c>
      <c r="CW174" s="140">
        <f t="shared" si="89"/>
        <v>0</v>
      </c>
      <c r="CX174" s="142">
        <f t="shared" si="89"/>
        <v>0</v>
      </c>
      <c r="CY174" s="141">
        <f t="shared" si="89"/>
        <v>0</v>
      </c>
      <c r="CZ174" s="139">
        <f t="shared" si="89"/>
        <v>0</v>
      </c>
      <c r="DA174" s="139">
        <f t="shared" si="89"/>
        <v>0</v>
      </c>
      <c r="DB174" s="139">
        <f t="shared" si="89"/>
        <v>0</v>
      </c>
      <c r="DC174" s="140">
        <f t="shared" si="89"/>
        <v>0</v>
      </c>
      <c r="DD174" s="140">
        <f t="shared" si="89"/>
        <v>0</v>
      </c>
      <c r="DE174" s="140">
        <f t="shared" si="89"/>
        <v>0</v>
      </c>
      <c r="DF174" s="140">
        <f t="shared" si="89"/>
        <v>0</v>
      </c>
      <c r="DG174" s="140">
        <f t="shared" si="89"/>
        <v>0</v>
      </c>
      <c r="DH174" s="140">
        <f t="shared" si="89"/>
        <v>0</v>
      </c>
      <c r="DI174" s="140">
        <f t="shared" si="89"/>
        <v>0</v>
      </c>
      <c r="DJ174" s="140">
        <f t="shared" si="89"/>
        <v>0</v>
      </c>
      <c r="DK174" s="140">
        <f t="shared" si="89"/>
        <v>0</v>
      </c>
      <c r="DL174" s="140">
        <f t="shared" si="89"/>
        <v>0</v>
      </c>
      <c r="DM174" s="140">
        <f t="shared" si="89"/>
        <v>0</v>
      </c>
      <c r="DN174" s="140">
        <f t="shared" si="89"/>
        <v>0</v>
      </c>
      <c r="DO174" s="140">
        <f t="shared" si="89"/>
        <v>0</v>
      </c>
      <c r="DP174" s="142">
        <f t="shared" si="89"/>
        <v>0</v>
      </c>
      <c r="DQ174" s="141">
        <f t="shared" si="89"/>
        <v>0</v>
      </c>
      <c r="DR174" s="139">
        <f t="shared" si="89"/>
        <v>0</v>
      </c>
      <c r="DS174" s="139">
        <f t="shared" si="89"/>
        <v>0</v>
      </c>
      <c r="DT174" s="139">
        <f t="shared" si="89"/>
        <v>0</v>
      </c>
      <c r="DU174" s="140">
        <f t="shared" si="89"/>
        <v>0</v>
      </c>
      <c r="DV174" s="140">
        <f t="shared" si="89"/>
        <v>0</v>
      </c>
      <c r="DW174" s="140">
        <f t="shared" si="89"/>
        <v>0</v>
      </c>
      <c r="DX174" s="140">
        <f t="shared" si="89"/>
        <v>0</v>
      </c>
      <c r="DY174" s="140">
        <f t="shared" si="89"/>
        <v>0</v>
      </c>
      <c r="DZ174" s="140">
        <f t="shared" si="89"/>
        <v>0</v>
      </c>
      <c r="EA174" s="140">
        <f t="shared" si="89"/>
        <v>0</v>
      </c>
      <c r="EB174" s="140">
        <f t="shared" si="89"/>
        <v>0</v>
      </c>
      <c r="EC174" s="140">
        <f t="shared" si="89"/>
        <v>0</v>
      </c>
      <c r="ED174" s="140">
        <f t="shared" si="89"/>
        <v>0</v>
      </c>
      <c r="EE174" s="140">
        <f t="shared" ref="EE174:EZ174" si="90">SUM(EE18,EE21,EE30,EE34,EE38,EE42,EE50,EE78,EE105,EE117,EE125,EE131,EE144,EE155,EE158)</f>
        <v>0</v>
      </c>
      <c r="EF174" s="140">
        <f t="shared" si="90"/>
        <v>0</v>
      </c>
      <c r="EG174" s="140">
        <f t="shared" si="90"/>
        <v>0</v>
      </c>
      <c r="EH174" s="142">
        <f t="shared" si="90"/>
        <v>0</v>
      </c>
      <c r="EI174" s="141">
        <f t="shared" si="90"/>
        <v>0</v>
      </c>
      <c r="EJ174" s="139">
        <f t="shared" si="90"/>
        <v>0</v>
      </c>
      <c r="EK174" s="139">
        <f t="shared" si="90"/>
        <v>0</v>
      </c>
      <c r="EL174" s="139">
        <f t="shared" si="90"/>
        <v>0</v>
      </c>
      <c r="EM174" s="140">
        <f t="shared" si="90"/>
        <v>0</v>
      </c>
      <c r="EN174" s="140">
        <f t="shared" si="90"/>
        <v>0</v>
      </c>
      <c r="EO174" s="140">
        <f t="shared" si="90"/>
        <v>0</v>
      </c>
      <c r="EP174" s="140">
        <f t="shared" si="90"/>
        <v>0</v>
      </c>
      <c r="EQ174" s="140">
        <f t="shared" si="90"/>
        <v>0</v>
      </c>
      <c r="ER174" s="140">
        <f t="shared" si="90"/>
        <v>0</v>
      </c>
      <c r="ES174" s="140">
        <f t="shared" si="90"/>
        <v>0</v>
      </c>
      <c r="ET174" s="140">
        <f t="shared" si="90"/>
        <v>0</v>
      </c>
      <c r="EU174" s="140">
        <f t="shared" si="90"/>
        <v>0</v>
      </c>
      <c r="EV174" s="140">
        <f t="shared" si="90"/>
        <v>0</v>
      </c>
      <c r="EW174" s="140">
        <f t="shared" si="90"/>
        <v>0</v>
      </c>
      <c r="EX174" s="140">
        <f t="shared" si="90"/>
        <v>0</v>
      </c>
      <c r="EY174" s="140">
        <f t="shared" si="90"/>
        <v>0</v>
      </c>
      <c r="EZ174" s="142">
        <f t="shared" si="90"/>
        <v>0</v>
      </c>
    </row>
    <row r="175" spans="1:156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  <c r="DE175" s="143"/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</row>
    <row r="176" spans="1:156">
      <c r="B176" s="144" t="s">
        <v>309</v>
      </c>
      <c r="C176" s="144"/>
      <c r="D176" s="144"/>
      <c r="E176" s="144"/>
      <c r="F176" s="144"/>
    </row>
    <row r="177" spans="2:6">
      <c r="B177" s="144" t="s">
        <v>310</v>
      </c>
      <c r="C177" s="144"/>
      <c r="D177" s="144"/>
      <c r="E177" s="144"/>
      <c r="F177" s="144"/>
    </row>
    <row r="178" spans="2:6">
      <c r="B178" s="144" t="s">
        <v>311</v>
      </c>
      <c r="C178" s="144"/>
      <c r="D178" s="144"/>
      <c r="E178" s="144"/>
      <c r="F178" s="144"/>
    </row>
  </sheetData>
  <mergeCells count="395">
    <mergeCell ref="C172:F172"/>
    <mergeCell ref="C173:F173"/>
    <mergeCell ref="B174:F174"/>
    <mergeCell ref="B176:F176"/>
    <mergeCell ref="B177:F177"/>
    <mergeCell ref="B178:F178"/>
    <mergeCell ref="C166:F166"/>
    <mergeCell ref="C167:F167"/>
    <mergeCell ref="C168:F168"/>
    <mergeCell ref="C169:F169"/>
    <mergeCell ref="C170:F170"/>
    <mergeCell ref="C171:F171"/>
    <mergeCell ref="C160:F160"/>
    <mergeCell ref="C161:F161"/>
    <mergeCell ref="C162:F162"/>
    <mergeCell ref="C163:F163"/>
    <mergeCell ref="C164:F164"/>
    <mergeCell ref="C165:F165"/>
    <mergeCell ref="C154:F154"/>
    <mergeCell ref="C155:F155"/>
    <mergeCell ref="C156:F156"/>
    <mergeCell ref="C157:F157"/>
    <mergeCell ref="C158:F158"/>
    <mergeCell ref="C159:F159"/>
    <mergeCell ref="C148:F148"/>
    <mergeCell ref="C149:F149"/>
    <mergeCell ref="C150:F150"/>
    <mergeCell ref="C151:F151"/>
    <mergeCell ref="C152:F152"/>
    <mergeCell ref="C153:F153"/>
    <mergeCell ref="C142:F142"/>
    <mergeCell ref="C143:F143"/>
    <mergeCell ref="C144:F144"/>
    <mergeCell ref="C145:F145"/>
    <mergeCell ref="C146:F146"/>
    <mergeCell ref="C147:F147"/>
    <mergeCell ref="C136:F136"/>
    <mergeCell ref="C137:F137"/>
    <mergeCell ref="C138:F138"/>
    <mergeCell ref="C139:F139"/>
    <mergeCell ref="C140:F140"/>
    <mergeCell ref="C141:F141"/>
    <mergeCell ref="C130:F130"/>
    <mergeCell ref="C131:F131"/>
    <mergeCell ref="C132:F132"/>
    <mergeCell ref="C133:F133"/>
    <mergeCell ref="C134:F134"/>
    <mergeCell ref="C135:F135"/>
    <mergeCell ref="C124:F124"/>
    <mergeCell ref="C125:F125"/>
    <mergeCell ref="C126:F126"/>
    <mergeCell ref="C127:F127"/>
    <mergeCell ref="C128:F128"/>
    <mergeCell ref="C129:F129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06:F106"/>
    <mergeCell ref="C107:F107"/>
    <mergeCell ref="C108:F108"/>
    <mergeCell ref="C109:F109"/>
    <mergeCell ref="C110:F110"/>
    <mergeCell ref="C111:F111"/>
    <mergeCell ref="C100:F100"/>
    <mergeCell ref="C101:F101"/>
    <mergeCell ref="C102:F102"/>
    <mergeCell ref="C103:F103"/>
    <mergeCell ref="C104:F104"/>
    <mergeCell ref="C105:F105"/>
    <mergeCell ref="C94:F94"/>
    <mergeCell ref="C95:F95"/>
    <mergeCell ref="C96:F96"/>
    <mergeCell ref="C97:F97"/>
    <mergeCell ref="C98:F98"/>
    <mergeCell ref="C99:F99"/>
    <mergeCell ref="C88:F88"/>
    <mergeCell ref="C89:F89"/>
    <mergeCell ref="C90:F90"/>
    <mergeCell ref="C91:F91"/>
    <mergeCell ref="C92:F92"/>
    <mergeCell ref="C93:F93"/>
    <mergeCell ref="C82:F82"/>
    <mergeCell ref="C83:F83"/>
    <mergeCell ref="C84:F84"/>
    <mergeCell ref="C85:F85"/>
    <mergeCell ref="C86:F86"/>
    <mergeCell ref="C87:F87"/>
    <mergeCell ref="C76:F76"/>
    <mergeCell ref="C77:F77"/>
    <mergeCell ref="C78:F78"/>
    <mergeCell ref="C79:F79"/>
    <mergeCell ref="C80:F80"/>
    <mergeCell ref="C81:F81"/>
    <mergeCell ref="C70:F70"/>
    <mergeCell ref="C71:F71"/>
    <mergeCell ref="C72:F72"/>
    <mergeCell ref="C73:F73"/>
    <mergeCell ref="C74:F74"/>
    <mergeCell ref="C75:F75"/>
    <mergeCell ref="C64:F64"/>
    <mergeCell ref="C65:F65"/>
    <mergeCell ref="C66:F66"/>
    <mergeCell ref="C67:F67"/>
    <mergeCell ref="C68:F68"/>
    <mergeCell ref="C69:F69"/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4:F44"/>
    <mergeCell ref="C46:F46"/>
    <mergeCell ref="C48:F48"/>
    <mergeCell ref="C49:F49"/>
    <mergeCell ref="C50:F50"/>
    <mergeCell ref="C51:F51"/>
    <mergeCell ref="C38:F38"/>
    <mergeCell ref="C39:F39"/>
    <mergeCell ref="C40:F40"/>
    <mergeCell ref="C41:F41"/>
    <mergeCell ref="C42:F42"/>
    <mergeCell ref="C43:F43"/>
    <mergeCell ref="C30:F30"/>
    <mergeCell ref="C31:F31"/>
    <mergeCell ref="C33:F33"/>
    <mergeCell ref="C34:F34"/>
    <mergeCell ref="C35:F35"/>
    <mergeCell ref="C37:F37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EZ13:EZ17"/>
    <mergeCell ref="H15:H17"/>
    <mergeCell ref="I15:I17"/>
    <mergeCell ref="J15:J17"/>
    <mergeCell ref="K15:K17"/>
    <mergeCell ref="AE15:AE17"/>
    <mergeCell ref="AF15:AF17"/>
    <mergeCell ref="AG15:AG17"/>
    <mergeCell ref="AH15:AH17"/>
    <mergeCell ref="AW15:AW17"/>
    <mergeCell ref="ET13:ET17"/>
    <mergeCell ref="EU13:EU17"/>
    <mergeCell ref="EV13:EV17"/>
    <mergeCell ref="EW13:EW17"/>
    <mergeCell ref="EX13:EX17"/>
    <mergeCell ref="EY13:EY17"/>
    <mergeCell ref="EN13:EN17"/>
    <mergeCell ref="EO13:EO17"/>
    <mergeCell ref="EP13:EP17"/>
    <mergeCell ref="EQ13:EQ17"/>
    <mergeCell ref="ER13:ER17"/>
    <mergeCell ref="ES13:ES17"/>
    <mergeCell ref="EF13:EF17"/>
    <mergeCell ref="EG13:EG17"/>
    <mergeCell ref="EH13:EH17"/>
    <mergeCell ref="EI13:EJ14"/>
    <mergeCell ref="EK13:EL14"/>
    <mergeCell ref="EM13:EM17"/>
    <mergeCell ref="EI15:EI17"/>
    <mergeCell ref="EJ15:EJ17"/>
    <mergeCell ref="EK15:EK17"/>
    <mergeCell ref="EL15:EL17"/>
    <mergeCell ref="DZ13:DZ17"/>
    <mergeCell ref="EA13:EA17"/>
    <mergeCell ref="EB13:EB17"/>
    <mergeCell ref="EC13:EC17"/>
    <mergeCell ref="ED13:ED17"/>
    <mergeCell ref="EE13:EE17"/>
    <mergeCell ref="DS13:DT14"/>
    <mergeCell ref="DU13:DU17"/>
    <mergeCell ref="DV13:DV17"/>
    <mergeCell ref="DW13:DW17"/>
    <mergeCell ref="DX13:DX17"/>
    <mergeCell ref="DY13:DY17"/>
    <mergeCell ref="DS15:DS17"/>
    <mergeCell ref="DT15:DT17"/>
    <mergeCell ref="DL13:DL17"/>
    <mergeCell ref="DM13:DM17"/>
    <mergeCell ref="DN13:DN17"/>
    <mergeCell ref="DO13:DO17"/>
    <mergeCell ref="DP13:DP17"/>
    <mergeCell ref="DQ13:DR14"/>
    <mergeCell ref="DQ15:DQ17"/>
    <mergeCell ref="DR15:DR17"/>
    <mergeCell ref="DF13:DF17"/>
    <mergeCell ref="DG13:DG17"/>
    <mergeCell ref="DH13:DH17"/>
    <mergeCell ref="DI13:DI17"/>
    <mergeCell ref="DJ13:DJ17"/>
    <mergeCell ref="DK13:DK17"/>
    <mergeCell ref="CX13:CX17"/>
    <mergeCell ref="CY13:CZ14"/>
    <mergeCell ref="DA13:DB14"/>
    <mergeCell ref="DC13:DC17"/>
    <mergeCell ref="DD13:DD17"/>
    <mergeCell ref="DE13:DE17"/>
    <mergeCell ref="CY15:CY17"/>
    <mergeCell ref="CZ15:CZ17"/>
    <mergeCell ref="DA15:DA17"/>
    <mergeCell ref="DB15:DB17"/>
    <mergeCell ref="CR13:CR17"/>
    <mergeCell ref="CS13:CS17"/>
    <mergeCell ref="CT13:CT17"/>
    <mergeCell ref="CU13:CU17"/>
    <mergeCell ref="CV13:CV17"/>
    <mergeCell ref="CW13:CW17"/>
    <mergeCell ref="CL13:CL17"/>
    <mergeCell ref="CM13:CM17"/>
    <mergeCell ref="CN13:CN17"/>
    <mergeCell ref="CO13:CO17"/>
    <mergeCell ref="CP13:CP17"/>
    <mergeCell ref="CQ13:CQ17"/>
    <mergeCell ref="CD13:CD17"/>
    <mergeCell ref="CE13:CE17"/>
    <mergeCell ref="CF13:CF17"/>
    <mergeCell ref="CG13:CH14"/>
    <mergeCell ref="CI13:CJ14"/>
    <mergeCell ref="CK13:CK17"/>
    <mergeCell ref="CG15:CG17"/>
    <mergeCell ref="CH15:CH17"/>
    <mergeCell ref="CI15:CI17"/>
    <mergeCell ref="CJ15:CJ17"/>
    <mergeCell ref="BX13:BX17"/>
    <mergeCell ref="BY13:BY17"/>
    <mergeCell ref="BZ13:BZ17"/>
    <mergeCell ref="CA13:CA17"/>
    <mergeCell ref="CB13:CB17"/>
    <mergeCell ref="CC13:CC17"/>
    <mergeCell ref="BQ13:BR14"/>
    <mergeCell ref="BS13:BS17"/>
    <mergeCell ref="BT13:BT17"/>
    <mergeCell ref="BU13:BU17"/>
    <mergeCell ref="BV13:BV17"/>
    <mergeCell ref="BW13:BW17"/>
    <mergeCell ref="BQ15:BQ17"/>
    <mergeCell ref="BR15:BR17"/>
    <mergeCell ref="BJ13:BJ17"/>
    <mergeCell ref="BK13:BK17"/>
    <mergeCell ref="BL13:BL17"/>
    <mergeCell ref="BM13:BM17"/>
    <mergeCell ref="BN13:BN17"/>
    <mergeCell ref="BO13:BP14"/>
    <mergeCell ref="BO15:BO17"/>
    <mergeCell ref="BP15:BP17"/>
    <mergeCell ref="BD13:BD17"/>
    <mergeCell ref="BE13:BE17"/>
    <mergeCell ref="BF13:BF17"/>
    <mergeCell ref="BG13:BG17"/>
    <mergeCell ref="BH13:BH17"/>
    <mergeCell ref="BI13:BI17"/>
    <mergeCell ref="AV13:AV17"/>
    <mergeCell ref="AW13:AX14"/>
    <mergeCell ref="AY13:AZ14"/>
    <mergeCell ref="BA13:BA17"/>
    <mergeCell ref="BB13:BB17"/>
    <mergeCell ref="BC13:BC17"/>
    <mergeCell ref="AX15:AX17"/>
    <mergeCell ref="AY15:AY17"/>
    <mergeCell ref="AZ15:AZ17"/>
    <mergeCell ref="AP13:AP17"/>
    <mergeCell ref="AQ13:AQ17"/>
    <mergeCell ref="AR13:AR17"/>
    <mergeCell ref="AS13:AS17"/>
    <mergeCell ref="AT13:AT17"/>
    <mergeCell ref="AU13:AU17"/>
    <mergeCell ref="AJ13:AJ17"/>
    <mergeCell ref="AK13:AK17"/>
    <mergeCell ref="AL13:AL17"/>
    <mergeCell ref="AM13:AM17"/>
    <mergeCell ref="AN13:AN17"/>
    <mergeCell ref="AO13:AO17"/>
    <mergeCell ref="AB13:AB17"/>
    <mergeCell ref="AC13:AC17"/>
    <mergeCell ref="AD13:AD17"/>
    <mergeCell ref="AE13:AF14"/>
    <mergeCell ref="AG13:AH14"/>
    <mergeCell ref="AI13:AI17"/>
    <mergeCell ref="V13:V17"/>
    <mergeCell ref="W13:W17"/>
    <mergeCell ref="X13:X17"/>
    <mergeCell ref="Y13:Y17"/>
    <mergeCell ref="Z13:Z17"/>
    <mergeCell ref="AA13:AA17"/>
    <mergeCell ref="P13:P17"/>
    <mergeCell ref="Q13:Q17"/>
    <mergeCell ref="R13:R17"/>
    <mergeCell ref="S13:S17"/>
    <mergeCell ref="T13:T17"/>
    <mergeCell ref="U13:U17"/>
    <mergeCell ref="H13:I14"/>
    <mergeCell ref="J13:K14"/>
    <mergeCell ref="L13:L17"/>
    <mergeCell ref="M13:M17"/>
    <mergeCell ref="N13:N17"/>
    <mergeCell ref="O13:O17"/>
    <mergeCell ref="EN10:EP12"/>
    <mergeCell ref="EQ10:EQ12"/>
    <mergeCell ref="ER10:EU12"/>
    <mergeCell ref="EV10:EV12"/>
    <mergeCell ref="EW10:EY12"/>
    <mergeCell ref="EZ10:EZ12"/>
    <mergeCell ref="DY10:DY12"/>
    <mergeCell ref="DZ10:EC12"/>
    <mergeCell ref="ED10:ED12"/>
    <mergeCell ref="EE10:EG12"/>
    <mergeCell ref="EH10:EH12"/>
    <mergeCell ref="EI10:EM12"/>
    <mergeCell ref="DH10:DK12"/>
    <mergeCell ref="DL10:DL12"/>
    <mergeCell ref="DM10:DO12"/>
    <mergeCell ref="DP10:DP12"/>
    <mergeCell ref="DQ10:DU12"/>
    <mergeCell ref="DV10:DX12"/>
    <mergeCell ref="CT10:CT12"/>
    <mergeCell ref="CU10:CW12"/>
    <mergeCell ref="CX10:CX12"/>
    <mergeCell ref="CY10:DC12"/>
    <mergeCell ref="DD10:DF12"/>
    <mergeCell ref="DG10:DG12"/>
    <mergeCell ref="CC10:CE12"/>
    <mergeCell ref="CF10:CF12"/>
    <mergeCell ref="CG10:CK12"/>
    <mergeCell ref="CL10:CN12"/>
    <mergeCell ref="CO10:CO12"/>
    <mergeCell ref="CP10:CS12"/>
    <mergeCell ref="BN10:BN12"/>
    <mergeCell ref="BO10:BS12"/>
    <mergeCell ref="BT10:BV12"/>
    <mergeCell ref="BW10:BW12"/>
    <mergeCell ref="BX10:CA12"/>
    <mergeCell ref="CB10:CB12"/>
    <mergeCell ref="AW10:BA12"/>
    <mergeCell ref="BB10:BD12"/>
    <mergeCell ref="BE10:BE12"/>
    <mergeCell ref="BF10:BI12"/>
    <mergeCell ref="BJ10:BJ12"/>
    <mergeCell ref="BK10:BM12"/>
    <mergeCell ref="AJ10:AL12"/>
    <mergeCell ref="AM10:AM12"/>
    <mergeCell ref="AN10:AQ12"/>
    <mergeCell ref="AR10:AR12"/>
    <mergeCell ref="AS10:AU12"/>
    <mergeCell ref="AV10:AV12"/>
    <mergeCell ref="CG9:CX9"/>
    <mergeCell ref="CY9:DP9"/>
    <mergeCell ref="DQ9:EH9"/>
    <mergeCell ref="EI9:EZ9"/>
    <mergeCell ref="H10:L12"/>
    <mergeCell ref="M10:O12"/>
    <mergeCell ref="P10:P12"/>
    <mergeCell ref="Q10:T12"/>
    <mergeCell ref="U10:U12"/>
    <mergeCell ref="V10:X12"/>
    <mergeCell ref="B9:F17"/>
    <mergeCell ref="G9:G17"/>
    <mergeCell ref="H9:AD9"/>
    <mergeCell ref="AE9:AV9"/>
    <mergeCell ref="AW9:BN9"/>
    <mergeCell ref="BO9:CF9"/>
    <mergeCell ref="Y10:Y12"/>
    <mergeCell ref="Z10:AB12"/>
    <mergeCell ref="AC10:AD12"/>
    <mergeCell ref="AE10:AI12"/>
    <mergeCell ref="A1:EZ1"/>
    <mergeCell ref="A2:EZ2"/>
    <mergeCell ref="A3:EZ3"/>
    <mergeCell ref="A5:EZ5"/>
    <mergeCell ref="B7:Y7"/>
    <mergeCell ref="ES8:EZ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</dc:creator>
  <cp:lastModifiedBy>LA</cp:lastModifiedBy>
  <dcterms:created xsi:type="dcterms:W3CDTF">2020-11-23T09:18:34Z</dcterms:created>
  <dcterms:modified xsi:type="dcterms:W3CDTF">2020-11-23T09:19:12Z</dcterms:modified>
</cp:coreProperties>
</file>